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10" windowHeight="8192" windowWidth="16384" xWindow="0" yWindow="0"/>
  </bookViews>
  <sheets>
    <sheet name="FPA Calc" sheetId="1" state="visible" r:id="rId2"/>
    <sheet name="MTFcalculations" sheetId="2" state="visible" r:id="rId3"/>
  </sheets>
  <definedNames>
    <definedName function="false" hidden="false" name="AiryDiskRadiusAtFPA" vbProcedure="false">'FPA Calc'!$D$36</definedName>
    <definedName function="false" hidden="false" name="AiryDiskRadiusAtObject" vbProcedure="false">'FPA Calc'!$I$36</definedName>
    <definedName function="false" hidden="false" name="BytesPerPixel" vbProcedure="false">'FPA Calc'!$D$12</definedName>
    <definedName function="false" hidden="false" name="ColdStopLocation" vbProcedure="false">'FPA Calc'!$H$33</definedName>
    <definedName function="false" hidden="false" name="darkCurrent" vbProcedure="false">'FPA Calc'!$K$13</definedName>
    <definedName function="false" hidden="false" name="darkNoiseCounts" vbProcedure="false">'FPA Calc'!$M$16</definedName>
    <definedName function="false" hidden="false" name="darkNoiseElectrons" vbProcedure="false">'FPA Calc'!$K$16</definedName>
    <definedName function="false" hidden="false" name="darkSignalCounts" vbProcedure="false">'FPA Calc'!$M$15</definedName>
    <definedName function="false" hidden="false" name="darkSignalElectrons" vbProcedure="false">'FPA Calc'!$K$15</definedName>
    <definedName function="false" hidden="false" name="diagSize" vbProcedure="false">'FPA Calc'!$G$9</definedName>
    <definedName function="false" hidden="false" name="electronsPerCount" vbProcedure="false">'FPA Calc'!$K$10</definedName>
    <definedName function="false" hidden="false" name="emptyWellCounts" vbProcedure="false">'FPA Calc'!$K$9</definedName>
    <definedName function="false" hidden="false" name="ePerCoulomb" vbProcedure="false">'FPA Calc'!$O$10</definedName>
    <definedName function="false" hidden="false" name="fNumber" vbProcedure="false">'FPA Calc'!$D$34</definedName>
    <definedName function="false" hidden="false" name="FocalLength" vbProcedure="false">'FPA Calc'!$D$23</definedName>
    <definedName function="false" hidden="false" name="FPA_Nyquist_at_Object" vbProcedure="false">'FPA Calc'!$Q$36</definedName>
    <definedName function="false" hidden="false" name="fullWellCounts" vbProcedure="false">'FPA Calc'!$K$8</definedName>
    <definedName function="false" hidden="false" name="fullWellElectrons" vbProcedure="false">'FPA Calc'!$K$7</definedName>
    <definedName function="false" hidden="false" name="hyperfocalDistance" vbProcedure="false">'FPA Calc'!$D$29</definedName>
    <definedName function="false" hidden="false" name="integrationTime" vbProcedure="false">'FPA Calc'!$K$14</definedName>
    <definedName function="false" hidden="false" name="NumOutputs" vbProcedure="false">'FPA Calc'!$D$10</definedName>
    <definedName function="false" hidden="false" name="NumX" vbProcedure="false">'FPA Calc'!$D$8</definedName>
    <definedName function="false" hidden="false" name="NumY" vbProcedure="false">'FPA Calc'!$D$9</definedName>
    <definedName function="false" hidden="false" name="NyquistFrequency" vbProcedure="false">'FPA Calc'!$N$36</definedName>
    <definedName function="false" hidden="false" name="Object_Distance" vbProcedure="false">'FPA Calc'!$H$23</definedName>
    <definedName function="false" hidden="false" name="photonNoiseCounts" vbProcedure="false">'FPA Calc'!$O$19</definedName>
    <definedName function="false" hidden="false" name="photonNoiseElectrons" vbProcedure="false">'FPA Calc'!$M$19</definedName>
    <definedName function="false" hidden="false" name="photonNoisePhotons" vbProcedure="false">'FPA Calc'!$K$19</definedName>
    <definedName function="false" hidden="false" name="photonSignalCounts" vbProcedure="false">'FPA Calc'!$K$18</definedName>
    <definedName function="false" hidden="false" name="photonSignalElectrons" vbProcedure="false">'FPA Calc'!$M$18</definedName>
    <definedName function="false" hidden="false" name="photonSignalPhotons" vbProcedure="false">'FPA Calc'!$O$18</definedName>
    <definedName function="false" hidden="false" name="photonsPerCount" vbProcedure="false">'FPA Calc'!$K$12</definedName>
    <definedName function="false" hidden="false" name="pixelFOV" vbProcedure="false">'FPA Calc'!$D$28</definedName>
    <definedName function="false" hidden="false" name="pixelFOVatObject" vbProcedure="false">'FPA Calc'!$H$28</definedName>
    <definedName function="false" hidden="false" name="PixelPitch" vbProcedure="false">'FPA Calc'!$D$7</definedName>
    <definedName function="false" hidden="false" name="QE" vbProcedure="false">'FPA Calc'!$K$11</definedName>
    <definedName function="false" hidden="false" name="RatePerOutput" vbProcedure="false">'FPA Calc'!$D$11</definedName>
    <definedName function="false" hidden="false" name="ROICnoiseElectrons" vbProcedure="false">'FPA Calc'!$K$17</definedName>
    <definedName function="false" hidden="false" name="TotalPixels" vbProcedure="false">'FPA Calc'!$G$10</definedName>
    <definedName function="false" hidden="false" name="Wavelength" vbProcedure="false">'FPA Calc'!$D$33</definedName>
    <definedName function="false" hidden="false" name="xSize" vbProcedure="false">'FPA Calc'!$G$7</definedName>
    <definedName function="false" hidden="false" name="ySize" vbProcedure="false">'FPA Calc'!$G$8</definedName>
    <definedName function="false" hidden="false" name="__shared_1_0_0" vbProcedure="false">#ref!*diagsize/2</definedName>
    <definedName function="false" hidden="false" name="__shared_1_1_0" vbProcedure="false">(COS(ATAN(#ref!/coldstoplocation)))^4</definedName>
    <definedName function="false" hidden="false" name="__shared_2_0_0" vbProcedure="false">#ref!*focallength*PI()/180</definedName>
    <definedName function="false" hidden="false" name="__shared_2_10_0" vbProcedure="false">ACOS((MIN(1,(wavelength/1000)*#ref!*fnumber)))</definedName>
    <definedName function="false" hidden="false" name="__shared_2_11_0" vbProcedure="false">PI()*MIN(1,(pixelpitch/1000)*#ref!)</definedName>
    <definedName function="false" hidden="false" name="__shared_2_12_0" vbProcedure="false">(2/PI())*(#ref!-COS(#ref!)*SIN(#ref!))</definedName>
    <definedName function="false" hidden="false" name="__shared_2_13_0" vbProcedure="false">SIN(#ref!/#ref!</definedName>
    <definedName function="false" hidden="false" name="__shared_2_14_0" vbProcedure="false">#ref!*#ref!</definedName>
    <definedName function="false" hidden="false" name="__shared_2_15_0" vbProcedure="false">#ref!*#ref!</definedName>
    <definedName function="false" hidden="false" name="__shared_2_16_0" vbProcedure="false">PI()*MIN(1,(pixelpitch/1000)*#ref!)</definedName>
    <definedName function="false" hidden="false" name="__shared_2_17_0" vbProcedure="false">(2/PI())*(#ref!-COS(#ref!)*SIN(#ref!))</definedName>
    <definedName function="false" hidden="false" name="__shared_2_18_0" vbProcedure="false">SIN(#ref!/#ref!</definedName>
    <definedName function="false" hidden="false" name="__shared_2_19_0" vbProcedure="false">#ref!*#ref!</definedName>
    <definedName function="false" hidden="false" name="__shared_2_1_0" vbProcedure="false">PI()*MIN(1,(pixelpitch/1000)*#ref!)</definedName>
    <definedName function="false" hidden="false" name="__shared_2_20_0" vbProcedure="false">PI()*MIN(1,(pixelpitch/1000)*#ref!)</definedName>
    <definedName function="false" hidden="false" name="__shared_2_21_0" vbProcedure="false">(2/PI())*(#ref!-COS(#ref!)*SIN(#ref!))</definedName>
    <definedName function="false" hidden="false" name="__shared_2_22_0" vbProcedure="false">SIN(#ref!/#ref!</definedName>
    <definedName function="false" hidden="false" name="__shared_2_2_0" vbProcedure="false">(2/PI())*(#ref!-COS(#ref!)*SIN(#ref!))</definedName>
    <definedName function="false" hidden="false" name="__shared_2_3_0" vbProcedure="false">SIN(#ref!/#ref!</definedName>
    <definedName function="false" hidden="false" name="__shared_2_4_0" vbProcedure="false">#ref!*#ref!</definedName>
    <definedName function="false" hidden="false" name="__shared_2_5_0" vbProcedure="false">ACOS((MIN(1,(wavelength/1000)*#ref!*fnumber)))</definedName>
    <definedName function="false" hidden="false" name="__shared_2_6_0" vbProcedure="false">#ref!*focallength*PI()/180</definedName>
    <definedName function="false" hidden="false" name="__shared_2_7_0" vbProcedure="false">ACOS((MIN(1,(wavelength/1000)*#ref!*fnumber)))</definedName>
    <definedName function="false" hidden="false" name="__shared_2_8_0" vbProcedure="false">PI()*MIN(1,(pixelpitch/1000)*#ref!)</definedName>
    <definedName function="false" hidden="false" name="__shared_2_9_0" vbProcedure="false">#ref!*focallength*PI()/180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<sst xmlns="http://schemas.openxmlformats.org/spreadsheetml/2006/main" count="130" uniqueCount="94">
  <si>
    <t>Frame Rate, Field of View, and Resolution Calculator</t>
  </si>
  <si>
    <t>Enter information in orange background input cells to see calculated values in gray background cells:</t>
  </si>
  <si>
    <t>FPA name =</t>
  </si>
  <si>
    <t>IRC906</t>
  </si>
  <si>
    <t>(not used in calculations below)</t>
  </si>
  <si>
    <t>Pixel pitch=</t>
  </si>
  <si>
    <t>µm</t>
  </si>
  <si>
    <t>xSize =</t>
  </si>
  <si>
    <t>mm</t>
  </si>
  <si>
    <t>fullWellElectrons =</t>
  </si>
  <si>
    <t>e</t>
  </si>
  <si>
    <t>Num X =</t>
  </si>
  <si>
    <t>pixels</t>
  </si>
  <si>
    <t>ySize =</t>
  </si>
  <si>
    <t>fullWellCounts =</t>
  </si>
  <si>
    <t>counts</t>
  </si>
  <si>
    <t>Num Y =</t>
  </si>
  <si>
    <t>diagSize =</t>
  </si>
  <si>
    <t>emptyWellCounts =</t>
  </si>
  <si>
    <t>Num Outputs =</t>
  </si>
  <si>
    <t>Total pixels =</t>
  </si>
  <si>
    <t>electronsPerCount =</t>
  </si>
  <si>
    <t>e/count</t>
  </si>
  <si>
    <t>ePerCoulomb =</t>
  </si>
  <si>
    <t>Rate per Output =</t>
  </si>
  <si>
    <t>pixels per second per output</t>
  </si>
  <si>
    <t>QE =</t>
  </si>
  <si>
    <t>e/photon</t>
  </si>
  <si>
    <t>Bytes per pixel =</t>
  </si>
  <si>
    <t>photonsPerCount =</t>
  </si>
  <si>
    <t>photons/count</t>
  </si>
  <si>
    <t>Null pixels per line per output =</t>
  </si>
  <si>
    <t>darkCurrent =</t>
  </si>
  <si>
    <t>Amp/cm² (strong function of FPA temperature &amp; FPA processing)</t>
  </si>
  <si>
    <t>Null lines per frame =</t>
  </si>
  <si>
    <t>integrationTime =</t>
  </si>
  <si>
    <t>ms</t>
  </si>
  <si>
    <t>darkSignal =</t>
  </si>
  <si>
    <t>e  =</t>
  </si>
  <si>
    <t>FPA frame rate calculation:</t>
  </si>
  <si>
    <t>darkNoise =</t>
  </si>
  <si>
    <t>Maximum frame rate =</t>
  </si>
  <si>
    <t>frames per second</t>
  </si>
  <si>
    <t>readNoise =</t>
  </si>
  <si>
    <t>Pixel rate =</t>
  </si>
  <si>
    <t>pixels per second</t>
  </si>
  <si>
    <t>photonSignal =</t>
  </si>
  <si>
    <t>counts =</t>
  </si>
  <si>
    <t>photons =</t>
  </si>
  <si>
    <t>photons/(cm²·s)</t>
  </si>
  <si>
    <t>Active pixel data rate =</t>
  </si>
  <si>
    <t>photonNoise =</t>
  </si>
  <si>
    <t>Data rate =</t>
  </si>
  <si>
    <t>bytes per second</t>
  </si>
  <si>
    <t>photon+dark+readNoise =</t>
  </si>
  <si>
    <t>Formula for Field of View of a lens:</t>
  </si>
  <si>
    <t>Focal length =</t>
  </si>
  <si>
    <t>Object Distance =</t>
  </si>
  <si>
    <t>m</t>
  </si>
  <si>
    <t>closeFocusDistance ≈</t>
  </si>
  <si>
    <t>farFocusDistance ≈</t>
  </si>
  <si>
    <t>m (negative value indicates good focus to infinity)</t>
  </si>
  <si>
    <t>xFOV =</t>
  </si>
  <si>
    <t>°</t>
  </si>
  <si>
    <t>yFOV =</t>
  </si>
  <si>
    <t>diagFOV =</t>
  </si>
  <si>
    <t>pixelFOV=</t>
  </si>
  <si>
    <t>hyperfocalDistance ≈</t>
  </si>
  <si>
    <t>m [assumes Circle of Confusion diameter = max(AiryDiskRadius, pixelPitch)]</t>
  </si>
  <si>
    <t>Airy disk radius ≈ 1.22 * Wavelength * f-number</t>
  </si>
  <si>
    <t>Ignore cold stop location &amp; diameter for uncooled FPAs:</t>
  </si>
  <si>
    <t>Wavelength =</t>
  </si>
  <si>
    <t>Cold stop location =</t>
  </si>
  <si>
    <t>f-number =</t>
  </si>
  <si>
    <t>Cold stop diameter =</t>
  </si>
  <si>
    <t>Approximate Lens diameter =</t>
  </si>
  <si>
    <t>AiryDiskRadiusAtFPA =</t>
  </si>
  <si>
    <t>AiryDiskRadiusAtObject =</t>
  </si>
  <si>
    <t>FPA Nyquist frequency =</t>
  </si>
  <si>
    <t>cycles/mm at FPA =</t>
  </si>
  <si>
    <t>cycles/° at Object</t>
  </si>
  <si>
    <t>FPA</t>
  </si>
  <si>
    <t>Relative</t>
  </si>
  <si>
    <t>Distance</t>
  </si>
  <si>
    <t>Intensity</t>
  </si>
  <si>
    <t>(mm)</t>
  </si>
  <si>
    <t>Cosine^4</t>
  </si>
  <si>
    <t>SpatialFreq (cyc/°)</t>
  </si>
  <si>
    <t>SpatialFreq (cyc/mm)</t>
  </si>
  <si>
    <t>Phi (=Acos(Wav*Freq*fNum)</t>
  </si>
  <si>
    <t>pX (=Pi*Pitch*Freq)</t>
  </si>
  <si>
    <t>MTFoptics</t>
  </si>
  <si>
    <t>MTFarray</t>
  </si>
  <si>
    <t>MTFtotal</t>
  </si>
</sst>
</file>

<file path=xl/styles.xml><?xml version="1.0" encoding="utf-8"?>
<styleSheet xmlns="http://schemas.openxmlformats.org/spreadsheetml/2006/main">
  <numFmts count="10">
    <numFmt formatCode="GENERAL" numFmtId="164"/>
    <numFmt formatCode="0.000" numFmtId="165"/>
    <numFmt formatCode="0.0" numFmtId="166"/>
    <numFmt formatCode="0.00E+00" numFmtId="167"/>
    <numFmt formatCode="0.000000" numFmtId="168"/>
    <numFmt formatCode="0.00" numFmtId="169"/>
    <numFmt formatCode="0" numFmtId="170"/>
    <numFmt formatCode="0.000E+00" numFmtId="171"/>
    <numFmt formatCode="0.0000" numFmtId="172"/>
    <numFmt formatCode="0.00000" numFmtId="173"/>
  </numFmts>
  <fonts count="12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  <font>
      <name val="Arial"/>
      <charset val="1"/>
      <family val="2"/>
      <b val="true"/>
      <sz val="12"/>
    </font>
    <font>
      <name val="Arial"/>
      <charset val="1"/>
      <family val="2"/>
      <color rgb="003F3F76"/>
      <sz val="11"/>
    </font>
    <font>
      <name val="Arial"/>
      <charset val="1"/>
      <family val="2"/>
      <color rgb="00FFFFFF"/>
      <sz val="10"/>
    </font>
    <font>
      <name val="Calibri"/>
      <family val="2"/>
      <b val="true"/>
      <color rgb="00000000"/>
      <sz val="18"/>
    </font>
    <font>
      <name val="Calibri"/>
      <family val="2"/>
      <color rgb="00000000"/>
      <sz val="10"/>
    </font>
    <font>
      <name val="Calibri"/>
      <family val="2"/>
      <b val="true"/>
      <color rgb="00000000"/>
      <sz val="12"/>
    </font>
    <font>
      <name val="Calibri"/>
      <family val="2"/>
      <color rgb="00000000"/>
      <sz val="8.45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0" numFmtId="164" xfId="0"/>
    <xf applyAlignment="false" applyBorder="false" applyFont="false" applyProtection="true" borderId="0" fillId="0" fontId="0" numFmtId="164" xfId="0">
      <protection hidden="false" locked="true"/>
    </xf>
    <xf applyAlignment="false" applyBorder="false" applyFont="true" applyProtection="true" borderId="0" fillId="0" fontId="4" numFmtId="164" xfId="0">
      <protection hidden="false" locked="true"/>
    </xf>
    <xf applyAlignment="false" applyBorder="false" applyFont="true" applyProtection="true" borderId="0" fillId="0" fontId="5" numFmtId="164" xfId="0">
      <protection hidden="false" locked="true"/>
    </xf>
    <xf applyAlignment="true" applyBorder="false" applyFont="true" applyProtection="tru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true" borderId="0" fillId="0" fontId="6" numFmtId="164" xfId="0">
      <alignment horizontal="center" indent="0" shrinkToFit="false" textRotation="0" vertical="bottom" wrapText="false"/>
      <protection hidden="false" locked="false"/>
    </xf>
    <xf applyAlignment="true" applyBorder="false" applyFont="fals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true" applyBorder="false" applyFont="false" applyProtection="tru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tru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0" fillId="0" fontId="0" numFmtId="167" xfId="0">
      <alignment horizontal="general" indent="0" shrinkToFit="false" textRotation="0" vertical="bottom" wrapText="false"/>
      <protection hidden="false" locked="true"/>
    </xf>
    <xf applyAlignment="true" applyBorder="false" applyFont="false" applyProtection="true" borderId="0" fillId="0" fontId="0" numFmtId="167" xfId="0">
      <alignment horizontal="general" indent="0" shrinkToFit="false" textRotation="0" vertical="bottom" wrapText="false"/>
      <protection hidden="false" locked="false"/>
    </xf>
    <xf applyAlignment="true" applyBorder="false" applyFont="false" applyProtection="true" borderId="0" fillId="0" fontId="0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2" fontId="0" numFmtId="164" xfId="0">
      <protection hidden="false" locked="true"/>
    </xf>
    <xf applyAlignment="true" applyBorder="false" applyFont="false" applyProtection="tru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true" borderId="0" fillId="0" fontId="0" numFmtId="164" xfId="0">
      <protection hidden="false" locked="false"/>
    </xf>
    <xf applyAlignment="false" applyBorder="true" applyFont="true" applyProtection="true" borderId="0" fillId="0" fontId="0" numFmtId="164" xfId="0">
      <protection hidden="false" locked="true"/>
    </xf>
    <xf applyAlignment="true" applyBorder="false" applyFont="false" applyProtection="true" borderId="0" fillId="0" fontId="0" numFmtId="170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true" borderId="0" fillId="0" fontId="0" numFmtId="171" xfId="0">
      <protection hidden="false" locked="true"/>
    </xf>
    <xf applyAlignment="false" applyBorder="false" applyFont="false" applyProtection="true" borderId="0" fillId="0" fontId="0" numFmtId="172" xfId="0">
      <protection hidden="false" locked="true"/>
    </xf>
    <xf applyAlignment="true" applyBorder="false" applyFont="false" applyProtection="true" borderId="0" fillId="0" fontId="0" numFmtId="173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0" numFmtId="164" xfId="0">
      <protection hidden="false" locked="true"/>
    </xf>
    <xf applyAlignment="false" applyBorder="false" applyFont="true" applyProtection="true" borderId="0" fillId="0" fontId="7" numFmtId="164" xfId="0">
      <protection hidden="true" locked="true"/>
    </xf>
    <xf applyAlignment="false" applyBorder="false" applyFont="true" applyProtection="true" borderId="0" fillId="0" fontId="0" numFmtId="165" xfId="0">
      <protection hidden="false" locked="true"/>
    </xf>
    <xf applyAlignment="false" applyBorder="false" applyFont="true" applyProtection="true" borderId="0" fillId="2" fontId="0" numFmtId="165" xfId="0">
      <protection hidden="false" locked="true"/>
    </xf>
    <xf applyAlignment="true" applyBorder="false" applyFont="true" applyProtection="tru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true" borderId="0" fillId="0" fontId="0" numFmtId="164" xfId="0">
      <protection hidden="true" locked="true"/>
    </xf>
    <xf applyAlignment="false" applyBorder="false" applyFont="true" applyProtection="true" borderId="0" fillId="0" fontId="4" numFmtId="164" xfId="0">
      <protection hidden="true" locked="true"/>
    </xf>
    <xf applyAlignment="true" applyBorder="false" applyFont="true" applyProtection="true" borderId="0" fillId="0" fontId="4" numFmtId="164" xfId="0">
      <alignment horizontal="center" indent="0" shrinkToFit="false" textRotation="0" vertical="bottom" wrapText="false"/>
      <protection hidden="true" locked="true"/>
    </xf>
    <xf applyAlignment="true" applyBorder="false" applyFont="true" applyProtection="true" borderId="0" fillId="0" fontId="0" numFmtId="164" xfId="0">
      <alignment horizontal="center" indent="0" shrinkToFit="false" textRotation="0" vertical="bottom" wrapText="false"/>
      <protection hidden="tru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8B855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  <a:ea typeface="Calibri"/>
              </a:rPr>
              <a:t>Diffraction Limited Optical MTF, Ideal Array MTF and Resultant Total MTF vs Spatial Frequency at FPA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solidFill>
              <a:srgbClr val="4a7ebb"/>
            </a:solidFill>
            <a:ln w="38160">
              <a:solidFill>
                <a:srgbClr val="4a7ebb"/>
              </a:solidFill>
              <a:round/>
            </a:ln>
          </c:spPr>
          <c:marker/>
          <c:smooth val="1"/>
          <c:xVal>
            <c:numRef>
              <c:f>MTFcalculations!$B$3:$B$103</c:f>
              <c:numCache>
                <c:formatCode>General</c:formatCode>
                <c:ptCount val="101"/>
                <c:pt idx="0">
                  <c:v>0.0001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MTFcalculations!$E$3:$E$103</c:f>
              <c:numCache>
                <c:formatCode>General</c:formatCode>
                <c:ptCount val="101"/>
                <c:pt idx="0">
                  <c:v>0.999998638270307</c:v>
                </c:pt>
                <c:pt idx="1">
                  <c:v>0.986382962671448</c:v>
                </c:pt>
                <c:pt idx="2">
                  <c:v>0.972767483064154</c:v>
                </c:pt>
                <c:pt idx="3">
                  <c:v>0.959155119434171</c:v>
                </c:pt>
                <c:pt idx="4">
                  <c:v>0.945547431108046</c:v>
                </c:pt>
                <c:pt idx="5">
                  <c:v>0.931945979020381</c:v>
                </c:pt>
                <c:pt idx="6">
                  <c:v>0.918352326254144</c:v>
                </c:pt>
                <c:pt idx="7">
                  <c:v>0.904768038584707</c:v>
                </c:pt>
                <c:pt idx="8">
                  <c:v>0.891194685028545</c:v>
                </c:pt>
                <c:pt idx="9">
                  <c:v>0.87763383839757</c:v>
                </c:pt>
                <c:pt idx="10">
                  <c:v>0.86408707586012</c:v>
                </c:pt>
                <c:pt idx="11">
                  <c:v>0.8505559795096</c:v>
                </c:pt>
                <c:pt idx="12">
                  <c:v>0.837042136941848</c:v>
                </c:pt>
                <c:pt idx="13">
                  <c:v>0.823547141842322</c:v>
                </c:pt>
                <c:pt idx="14">
                  <c:v>0.810072594584227</c:v>
                </c:pt>
                <c:pt idx="15">
                  <c:v>0.796620102838787</c:v>
                </c:pt>
                <c:pt idx="16">
                  <c:v>0.783191282198868</c:v>
                </c:pt>
                <c:pt idx="17">
                  <c:v>0.769787756817273</c:v>
                </c:pt>
                <c:pt idx="18">
                  <c:v>0.756411160061047</c:v>
                </c:pt>
                <c:pt idx="19">
                  <c:v>0.74306313518323</c:v>
                </c:pt>
                <c:pt idx="20">
                  <c:v>0.72974533601357</c:v>
                </c:pt>
                <c:pt idx="21">
                  <c:v>0.716459427669786</c:v>
                </c:pt>
                <c:pt idx="22">
                  <c:v>0.703207087291086</c:v>
                </c:pt>
                <c:pt idx="23">
                  <c:v>0.68999000479574</c:v>
                </c:pt>
                <c:pt idx="24">
                  <c:v>0.676809883664627</c:v>
                </c:pt>
                <c:pt idx="25">
                  <c:v>0.663668441752811</c:v>
                </c:pt>
                <c:pt idx="26">
                  <c:v>0.650567412131342</c:v>
                </c:pt>
                <c:pt idx="27">
                  <c:v>0.637508543961638</c:v>
                </c:pt>
                <c:pt idx="28">
                  <c:v>0.624493603404977</c:v>
                </c:pt>
                <c:pt idx="29">
                  <c:v>0.611524374569815</c:v>
                </c:pt>
                <c:pt idx="30">
                  <c:v>0.59860266049988</c:v>
                </c:pt>
                <c:pt idx="31">
                  <c:v>0.585730284206204</c:v>
                </c:pt>
                <c:pt idx="32">
                  <c:v>0.572909089746522</c:v>
                </c:pt>
                <c:pt idx="33">
                  <c:v>0.560140943355773</c:v>
                </c:pt>
                <c:pt idx="34">
                  <c:v>0.547427734631723</c:v>
                </c:pt>
                <c:pt idx="35">
                  <c:v>0.534771377780134</c:v>
                </c:pt>
                <c:pt idx="36">
                  <c:v>0.522173812924238</c:v>
                </c:pt>
                <c:pt idx="37">
                  <c:v>0.509637007483782</c:v>
                </c:pt>
                <c:pt idx="38">
                  <c:v>0.497162957629335</c:v>
                </c:pt>
                <c:pt idx="39">
                  <c:v>0.484753689818153</c:v>
                </c:pt>
                <c:pt idx="40">
                  <c:v>0.47241126241847</c:v>
                </c:pt>
                <c:pt idx="41">
                  <c:v>0.460137767429797</c:v>
                </c:pt>
                <c:pt idx="42">
                  <c:v>0.447935332307564</c:v>
                </c:pt>
                <c:pt idx="43">
                  <c:v>0.435806121901337</c:v>
                </c:pt>
                <c:pt idx="44">
                  <c:v>0.423752340516782</c:v>
                </c:pt>
                <c:pt idx="45">
                  <c:v>0.411776234112707</c:v>
                </c:pt>
                <c:pt idx="46">
                  <c:v>0.399880092645723</c:v>
                </c:pt>
                <c:pt idx="47">
                  <c:v>0.388066252576524</c:v>
                </c:pt>
                <c:pt idx="48">
                  <c:v>0.376337099553399</c:v>
                </c:pt>
                <c:pt idx="49">
                  <c:v>0.364695071290445</c:v>
                </c:pt>
                <c:pt idx="50">
                  <c:v>0.35314266066008</c:v>
                </c:pt>
                <c:pt idx="51">
                  <c:v>0.341682419021876</c:v>
                </c:pt>
                <c:pt idx="52">
                  <c:v>0.330316959812577</c:v>
                </c:pt>
                <c:pt idx="53">
                  <c:v>0.319048962425366</c:v>
                </c:pt>
                <c:pt idx="54">
                  <c:v>0.307881176410245</c:v>
                </c:pt>
                <c:pt idx="55">
                  <c:v>0.29681642603173</c:v>
                </c:pt>
                <c:pt idx="56">
                  <c:v>0.28585761522521</c:v>
                </c:pt>
                <c:pt idx="57">
                  <c:v>0.275007732999247</c:v>
                </c:pt>
                <c:pt idx="58">
                  <c:v>0.264269859338174</c:v>
                </c:pt>
                <c:pt idx="59">
                  <c:v>0.253647171667634</c:v>
                </c:pt>
                <c:pt idx="60">
                  <c:v>0.243142951955563</c:v>
                </c:pt>
                <c:pt idx="61">
                  <c:v>0.232760594532891</c:v>
                </c:pt>
                <c:pt idx="62">
                  <c:v>0.22250361473228</c:v>
                </c:pt>
                <c:pt idx="63">
                  <c:v>0.212375658460215</c:v>
                </c:pt>
                <c:pt idx="64">
                  <c:v>0.202380512838255</c:v>
                </c:pt>
                <c:pt idx="65">
                  <c:v>0.19252211807428</c:v>
                </c:pt>
                <c:pt idx="66">
                  <c:v>0.182804580755213</c:v>
                </c:pt>
                <c:pt idx="67">
                  <c:v>0.17323218879049</c:v>
                </c:pt>
                <c:pt idx="68">
                  <c:v>0.163809428282573</c:v>
                </c:pt>
                <c:pt idx="69">
                  <c:v>0.154541002659591</c:v>
                </c:pt>
                <c:pt idx="70">
                  <c:v>0.145431854479488</c:v>
                </c:pt>
                <c:pt idx="71">
                  <c:v>0.136487190409618</c:v>
                </c:pt>
                <c:pt idx="72">
                  <c:v>0.127712510007293</c:v>
                </c:pt>
                <c:pt idx="73">
                  <c:v>0.119113639084725</c:v>
                </c:pt>
                <c:pt idx="74">
                  <c:v>0.110696768649148</c:v>
                </c:pt>
                <c:pt idx="75">
                  <c:v>0.102468500684584</c:v>
                </c:pt>
                <c:pt idx="76">
                  <c:v>0.0944359024130725</c:v>
                </c:pt>
                <c:pt idx="77">
                  <c:v>0.0866065711806511</c:v>
                </c:pt>
                <c:pt idx="78">
                  <c:v>0.0789887128183012</c:v>
                </c:pt>
                <c:pt idx="79">
                  <c:v>0.0715912373246564</c:v>
                </c:pt>
                <c:pt idx="80">
                  <c:v>0.0644238771546106</c:v>
                </c:pt>
                <c:pt idx="81">
                  <c:v>0.0574973355178492</c:v>
                </c:pt>
                <c:pt idx="82">
                  <c:v>0.0508234752979933</c:v>
                </c:pt>
                <c:pt idx="83">
                  <c:v>0.044415564195999</c:v>
                </c:pt>
                <c:pt idx="84">
                  <c:v>0.0382885997396525</c:v>
                </c:pt>
                <c:pt idx="85">
                  <c:v>0.0324597512562656</c:v>
                </c:pt>
                <c:pt idx="86">
                  <c:v>0.0269489794937596</c:v>
                </c:pt>
                <c:pt idx="87">
                  <c:v>0.021779938296618</c:v>
                </c:pt>
                <c:pt idx="88">
                  <c:v>0.0169813495454949</c:v>
                </c:pt>
                <c:pt idx="89">
                  <c:v>0.0125892306020947</c:v>
                </c:pt>
                <c:pt idx="90">
                  <c:v>0.00865081050634255</c:v>
                </c:pt>
                <c:pt idx="91">
                  <c:v>0.00523227605092369</c:v>
                </c:pt>
                <c:pt idx="92">
                  <c:v>0.00243726741751257</c:v>
                </c:pt>
                <c:pt idx="93">
                  <c:v>0.000471344712909374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spPr>
            <a:solidFill>
              <a:srgbClr val="be4b48"/>
            </a:solidFill>
            <a:ln w="38160">
              <a:solidFill>
                <a:srgbClr val="be4b48"/>
              </a:solidFill>
              <a:round/>
            </a:ln>
          </c:spPr>
          <c:marker/>
          <c:smooth val="1"/>
          <c:xVal>
            <c:numRef>
              <c:f>MTFcalculations!$B$3:$B$103</c:f>
              <c:numCache>
                <c:formatCode>General</c:formatCode>
                <c:ptCount val="101"/>
                <c:pt idx="0">
                  <c:v>0.0001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MTFcalculations!$F$3:$F$103</c:f>
              <c:numCache>
                <c:formatCode>General</c:formatCode>
                <c:ptCount val="101"/>
                <c:pt idx="0">
                  <c:v>0.99999999999342</c:v>
                </c:pt>
                <c:pt idx="1">
                  <c:v>0.999342156239841</c:v>
                </c:pt>
                <c:pt idx="2">
                  <c:v>0.997370182772503</c:v>
                </c:pt>
                <c:pt idx="3">
                  <c:v>0.994088748645851</c:v>
                </c:pt>
                <c:pt idx="4">
                  <c:v>0.989505620981308</c:v>
                </c:pt>
                <c:pt idx="5">
                  <c:v>0.983631643083466</c:v>
                </c:pt>
                <c:pt idx="6">
                  <c:v>0.976480703887656</c:v>
                </c:pt>
                <c:pt idx="7">
                  <c:v>0.968069698839238</c:v>
                </c:pt>
                <c:pt idx="8">
                  <c:v>0.958418482324625</c:v>
                </c:pt>
                <c:pt idx="9">
                  <c:v>0.947549811799943</c:v>
                </c:pt>
                <c:pt idx="10">
                  <c:v>0.935489283788639</c:v>
                </c:pt>
                <c:pt idx="11">
                  <c:v>0.922265261944196</c:v>
                </c:pt>
                <c:pt idx="12">
                  <c:v>0.907908797398351</c:v>
                </c:pt>
                <c:pt idx="13">
                  <c:v>0.892453541638706</c:v>
                </c:pt>
                <c:pt idx="14">
                  <c:v>0.875935652182375</c:v>
                </c:pt>
                <c:pt idx="15">
                  <c:v>0.85839369133414</c:v>
                </c:pt>
                <c:pt idx="16">
                  <c:v>0.83986851833857</c:v>
                </c:pt>
                <c:pt idx="17">
                  <c:v>0.820403175255464</c:v>
                </c:pt>
                <c:pt idx="18">
                  <c:v>0.800042766906871</c:v>
                </c:pt>
                <c:pt idx="19">
                  <c:v>0.778834335261722</c:v>
                </c:pt>
                <c:pt idx="20">
                  <c:v>0.756826728640657</c:v>
                </c:pt>
                <c:pt idx="21">
                  <c:v>0.734070466139026</c:v>
                </c:pt>
                <c:pt idx="22">
                  <c:v>0.710617597680085</c:v>
                </c:pt>
                <c:pt idx="23">
                  <c:v>0.686521560123211</c:v>
                </c:pt>
                <c:pt idx="24">
                  <c:v>0.6618370298633</c:v>
                </c:pt>
                <c:pt idx="25">
                  <c:v>0.636619772367581</c:v>
                </c:pt>
                <c:pt idx="26">
                  <c:v>0.610926489104585</c:v>
                </c:pt>
                <c:pt idx="27">
                  <c:v>0.584814662327179</c:v>
                </c:pt>
                <c:pt idx="28">
                  <c:v>0.55834239817721</c:v>
                </c:pt>
                <c:pt idx="29">
                  <c:v>0.531568268583432</c:v>
                </c:pt>
                <c:pt idx="30">
                  <c:v>0.504551152427105</c:v>
                </c:pt>
                <c:pt idx="31">
                  <c:v>0.477350076450733</c:v>
                </c:pt>
                <c:pt idx="32">
                  <c:v>0.450024056385115</c:v>
                </c:pt>
                <c:pt idx="33">
                  <c:v>0.422631938767966</c:v>
                </c:pt>
                <c:pt idx="34">
                  <c:v>0.395232243924033</c:v>
                </c:pt>
                <c:pt idx="35">
                  <c:v>0.367883010571774</c:v>
                </c:pt>
                <c:pt idx="36">
                  <c:v>0.340641642515368</c:v>
                </c:pt>
                <c:pt idx="37">
                  <c:v>0.313564757873059</c:v>
                </c:pt>
                <c:pt idx="38">
                  <c:v>0.28670804128369</c:v>
                </c:pt>
                <c:pt idx="39">
                  <c:v>0.260126099522722</c:v>
                </c:pt>
                <c:pt idx="40">
                  <c:v>0.23387232094716</c:v>
                </c:pt>
                <c:pt idx="41">
                  <c:v>0.207998739175597</c:v>
                </c:pt>
                <c:pt idx="42">
                  <c:v>0.182555901395167</c:v>
                </c:pt>
                <c:pt idx="43">
                  <c:v>0.157592741671504</c:v>
                </c:pt>
                <c:pt idx="44">
                  <c:v>0.133156459621044</c:v>
                </c:pt>
                <c:pt idx="45">
                  <c:v>0.109292404787052</c:v>
                </c:pt>
                <c:pt idx="46">
                  <c:v>0.0860439670418529</c:v>
                </c:pt>
                <c:pt idx="47">
                  <c:v>0.0634524733178203</c:v>
                </c:pt>
                <c:pt idx="48">
                  <c:v>0.0415570909488544</c:v>
                </c:pt>
                <c:pt idx="49">
                  <c:v>0.0203947378824458</c:v>
                </c:pt>
                <c:pt idx="50">
                  <c:v>3.8997686524021E-017</c:v>
                </c:pt>
                <c:pt idx="51">
                  <c:v>3.8997686524021E-017</c:v>
                </c:pt>
                <c:pt idx="52">
                  <c:v>3.8997686524021E-017</c:v>
                </c:pt>
                <c:pt idx="53">
                  <c:v>3.8997686524021E-017</c:v>
                </c:pt>
                <c:pt idx="54">
                  <c:v>3.8997686524021E-017</c:v>
                </c:pt>
                <c:pt idx="55">
                  <c:v>3.8997686524021E-017</c:v>
                </c:pt>
                <c:pt idx="56">
                  <c:v>3.8997686524021E-017</c:v>
                </c:pt>
                <c:pt idx="57">
                  <c:v>3.8997686524021E-017</c:v>
                </c:pt>
                <c:pt idx="58">
                  <c:v>3.8997686524021E-017</c:v>
                </c:pt>
                <c:pt idx="59">
                  <c:v>3.8997686524021E-017</c:v>
                </c:pt>
                <c:pt idx="60">
                  <c:v>3.8997686524021E-017</c:v>
                </c:pt>
                <c:pt idx="61">
                  <c:v>3.8997686524021E-017</c:v>
                </c:pt>
                <c:pt idx="62">
                  <c:v>3.8997686524021E-017</c:v>
                </c:pt>
                <c:pt idx="63">
                  <c:v>3.8997686524021E-017</c:v>
                </c:pt>
                <c:pt idx="64">
                  <c:v>3.8997686524021E-017</c:v>
                </c:pt>
                <c:pt idx="65">
                  <c:v>3.8997686524021E-017</c:v>
                </c:pt>
                <c:pt idx="66">
                  <c:v>3.8997686524021E-017</c:v>
                </c:pt>
                <c:pt idx="67">
                  <c:v>3.8997686524021E-017</c:v>
                </c:pt>
                <c:pt idx="68">
                  <c:v>3.8997686524021E-017</c:v>
                </c:pt>
                <c:pt idx="69">
                  <c:v>3.8997686524021E-017</c:v>
                </c:pt>
                <c:pt idx="70">
                  <c:v>3.8997686524021E-017</c:v>
                </c:pt>
                <c:pt idx="71">
                  <c:v>3.8997686524021E-017</c:v>
                </c:pt>
                <c:pt idx="72">
                  <c:v>3.8997686524021E-017</c:v>
                </c:pt>
                <c:pt idx="73">
                  <c:v>3.8997686524021E-017</c:v>
                </c:pt>
                <c:pt idx="74">
                  <c:v>3.8997686524021E-017</c:v>
                </c:pt>
                <c:pt idx="75">
                  <c:v>3.8997686524021E-017</c:v>
                </c:pt>
                <c:pt idx="76">
                  <c:v>3.8997686524021E-017</c:v>
                </c:pt>
                <c:pt idx="77">
                  <c:v>3.8997686524021E-017</c:v>
                </c:pt>
                <c:pt idx="78">
                  <c:v>3.8997686524021E-017</c:v>
                </c:pt>
                <c:pt idx="79">
                  <c:v>3.8997686524021E-017</c:v>
                </c:pt>
                <c:pt idx="80">
                  <c:v>3.8997686524021E-017</c:v>
                </c:pt>
                <c:pt idx="81">
                  <c:v>3.8997686524021E-017</c:v>
                </c:pt>
                <c:pt idx="82">
                  <c:v>3.8997686524021E-017</c:v>
                </c:pt>
                <c:pt idx="83">
                  <c:v>3.8997686524021E-017</c:v>
                </c:pt>
                <c:pt idx="84">
                  <c:v>3.8997686524021E-017</c:v>
                </c:pt>
                <c:pt idx="85">
                  <c:v>3.8997686524021E-017</c:v>
                </c:pt>
                <c:pt idx="86">
                  <c:v>3.8997686524021E-017</c:v>
                </c:pt>
                <c:pt idx="87">
                  <c:v>3.8997686524021E-017</c:v>
                </c:pt>
                <c:pt idx="88">
                  <c:v>3.8997686524021E-017</c:v>
                </c:pt>
                <c:pt idx="89">
                  <c:v>3.8997686524021E-017</c:v>
                </c:pt>
                <c:pt idx="90">
                  <c:v>3.8997686524021E-017</c:v>
                </c:pt>
                <c:pt idx="91">
                  <c:v>3.8997686524021E-017</c:v>
                </c:pt>
                <c:pt idx="92">
                  <c:v>3.8997686524021E-017</c:v>
                </c:pt>
                <c:pt idx="93">
                  <c:v>3.8997686524021E-017</c:v>
                </c:pt>
                <c:pt idx="94">
                  <c:v>3.8997686524021E-017</c:v>
                </c:pt>
                <c:pt idx="95">
                  <c:v>3.8997686524021E-017</c:v>
                </c:pt>
                <c:pt idx="96">
                  <c:v>3.8997686524021E-017</c:v>
                </c:pt>
                <c:pt idx="97">
                  <c:v>3.8997686524021E-017</c:v>
                </c:pt>
                <c:pt idx="98">
                  <c:v>3.8997686524021E-017</c:v>
                </c:pt>
                <c:pt idx="99">
                  <c:v>3.8997686524021E-017</c:v>
                </c:pt>
                <c:pt idx="100">
                  <c:v>3.8997686524021E-017</c:v>
                </c:pt>
              </c:numCache>
            </c:numRef>
          </c:yVal>
        </c:ser>
        <c:ser>
          <c:idx val="2"/>
          <c:order val="2"/>
          <c:spPr>
            <a:solidFill>
              <a:srgbClr val="98b855"/>
            </a:solidFill>
            <a:ln w="38160">
              <a:solidFill>
                <a:srgbClr val="98b855"/>
              </a:solidFill>
              <a:round/>
            </a:ln>
          </c:spPr>
          <c:marker/>
          <c:smooth val="1"/>
          <c:xVal>
            <c:numRef>
              <c:f>MTFcalculations!$B$3:$B$103</c:f>
              <c:numCache>
                <c:formatCode>General</c:formatCode>
                <c:ptCount val="101"/>
                <c:pt idx="0">
                  <c:v>0.0001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MTFcalculations!$G$3:$G$103</c:f>
              <c:numCache>
                <c:formatCode>General</c:formatCode>
                <c:ptCount val="101"/>
                <c:pt idx="0">
                  <c:v>0.999998638263727</c:v>
                </c:pt>
                <c:pt idx="1">
                  <c:v>0.985734076794327</c:v>
                </c:pt>
                <c:pt idx="2">
                  <c:v>0.970209282378844</c:v>
                </c:pt>
                <c:pt idx="3">
                  <c:v>0.953485312435577</c:v>
                </c:pt>
                <c:pt idx="4">
                  <c:v>0.935624497985848</c:v>
                </c:pt>
                <c:pt idx="5">
                  <c:v>0.916691554608846</c:v>
                </c:pt>
                <c:pt idx="6">
                  <c:v>0.896753325957512</c:v>
                </c:pt>
                <c:pt idx="7">
                  <c:v>0.875878522632065</c:v>
                </c:pt>
                <c:pt idx="8">
                  <c:v>0.85413745748083</c:v>
                </c:pt>
                <c:pt idx="9">
                  <c:v>0.831601778402879</c:v>
                </c:pt>
                <c:pt idx="10">
                  <c:v>0.808344199727403</c:v>
                </c:pt>
                <c:pt idx="11">
                  <c:v>0.784438233240623</c:v>
                </c:pt>
                <c:pt idx="12">
                  <c:v>0.759957919922619</c:v>
                </c:pt>
                <c:pt idx="13">
                  <c:v>0.734977563443614</c:v>
                </c:pt>
                <c:pt idx="14">
                  <c:v>0.709571466452204</c:v>
                </c:pt>
                <c:pt idx="15">
                  <c:v>0.683813670666769</c:v>
                </c:pt>
                <c:pt idx="16">
                  <c:v>0.657777701756049</c:v>
                </c:pt>
                <c:pt idx="17">
                  <c:v>0.631536319965672</c:v>
                </c:pt>
                <c:pt idx="18">
                  <c:v>0.605161277414476</c:v>
                </c:pt>
                <c:pt idx="19">
                  <c:v>0.578723082947922</c:v>
                </c:pt>
                <c:pt idx="20">
                  <c:v>0.552290775395927</c:v>
                </c:pt>
                <c:pt idx="21">
                  <c:v>0.525931706039259</c:v>
                </c:pt>
                <c:pt idx="22">
                  <c:v>0.499711331042401</c:v>
                </c:pt>
                <c:pt idx="23">
                  <c:v>0.473693014561793</c:v>
                </c:pt>
                <c:pt idx="24">
                  <c:v>0.447937843186723</c:v>
                </c:pt>
                <c:pt idx="25">
                  <c:v>0.422504452316222</c:v>
                </c:pt>
                <c:pt idx="26">
                  <c:v>0.397448865019256</c:v>
                </c:pt>
                <c:pt idx="27">
                  <c:v>0.372824343867617</c:v>
                </c:pt>
                <c:pt idx="28">
                  <c:v>0.348681256171462</c:v>
                </c:pt>
                <c:pt idx="29">
                  <c:v>0.325066952986643</c:v>
                </c:pt>
                <c:pt idx="30">
                  <c:v>0.302025662201145</c:v>
                </c:pt>
                <c:pt idx="31">
                  <c:v>0.279598395945341</c:v>
                </c:pt>
                <c:pt idx="32">
                  <c:v>0.257822872507634</c:v>
                </c:pt>
                <c:pt idx="33">
                  <c:v>0.236733452873768</c:v>
                </c:pt>
                <c:pt idx="34">
                  <c:v>0.216361091944746</c:v>
                </c:pt>
                <c:pt idx="35">
                  <c:v>0.196733304425371</c:v>
                </c:pt>
                <c:pt idx="36">
                  <c:v>0.177874145313025</c:v>
                </c:pt>
                <c:pt idx="37">
                  <c:v>0.159804204854802</c:v>
                </c:pt>
                <c:pt idx="38">
                  <c:v>0.142540617780713</c:v>
                </c:pt>
                <c:pt idx="39">
                  <c:v>0.126097086561644</c:v>
                </c:pt>
                <c:pt idx="40">
                  <c:v>0.110483918383385</c:v>
                </c:pt>
                <c:pt idx="41">
                  <c:v>0.0957080754724719</c:v>
                </c:pt>
                <c:pt idx="42">
                  <c:v>0.081773238356151</c:v>
                </c:pt>
                <c:pt idx="43">
                  <c:v>0.0686798815876573</c:v>
                </c:pt>
                <c:pt idx="44">
                  <c:v>0.0564253614193458</c:v>
                </c:pt>
                <c:pt idx="45">
                  <c:v>0.0450040148603338</c:v>
                </c:pt>
                <c:pt idx="46">
                  <c:v>0.0344072695123017</c:v>
                </c:pt>
                <c:pt idx="47">
                  <c:v>0.0246237635371584</c:v>
                </c:pt>
                <c:pt idx="48">
                  <c:v>0.0156394750735687</c:v>
                </c:pt>
                <c:pt idx="49">
                  <c:v>0.00743786038598852</c:v>
                </c:pt>
                <c:pt idx="50">
                  <c:v>1.37717467786805E-017</c:v>
                </c:pt>
                <c:pt idx="51">
                  <c:v>1.33248238677843E-017</c:v>
                </c:pt>
                <c:pt idx="52">
                  <c:v>1.28815972523385E-017</c:v>
                </c:pt>
                <c:pt idx="53">
                  <c:v>1.24421714224786E-017</c:v>
                </c:pt>
                <c:pt idx="54">
                  <c:v>1.20066536042935E-017</c:v>
                </c:pt>
                <c:pt idx="55">
                  <c:v>1.15751539375657E-017</c:v>
                </c:pt>
                <c:pt idx="56">
                  <c:v>1.1147785669057E-017</c:v>
                </c:pt>
                <c:pt idx="57">
                  <c:v>1.07246653631863E-017</c:v>
                </c:pt>
                <c:pt idx="58">
                  <c:v>1.03059131322172E-017</c:v>
                </c:pt>
                <c:pt idx="59">
                  <c:v>9.89165288839891E-018</c:v>
                </c:pt>
                <c:pt idx="60">
                  <c:v>9.48201262088813E-018</c:v>
                </c:pt>
                <c:pt idx="61">
                  <c:v>9.07712470073843E-018</c:v>
                </c:pt>
                <c:pt idx="62">
                  <c:v>8.67712621779099E-018</c:v>
                </c:pt>
                <c:pt idx="63">
                  <c:v>8.28215935396401E-018</c:v>
                </c:pt>
                <c:pt idx="64">
                  <c:v>7.89237179823686E-018</c:v>
                </c:pt>
                <c:pt idx="65">
                  <c:v>7.50791720960134E-018</c:v>
                </c:pt>
                <c:pt idx="66">
                  <c:v>7.12895573544688E-018</c:v>
                </c:pt>
                <c:pt idx="67">
                  <c:v>6.75565459432157E-018</c:v>
                </c:pt>
                <c:pt idx="68">
                  <c:v>6.38818873384289E-018</c:v>
                </c:pt>
                <c:pt idx="69">
                  <c:v>6.02674157682662E-018</c:v>
                </c:pt>
                <c:pt idx="70">
                  <c:v>5.67150587159812E-018</c:v>
                </c:pt>
                <c:pt idx="71">
                  <c:v>5.32268466613864E-018</c:v>
                </c:pt>
                <c:pt idx="72">
                  <c:v>4.9804924304603E-018</c:v>
                </c:pt>
                <c:pt idx="73">
                  <c:v>4.6451563577615E-018</c:v>
                </c:pt>
                <c:pt idx="74">
                  <c:v>4.31691788300153E-018</c:v>
                </c:pt>
                <c:pt idx="75">
                  <c:v>3.99603446828382E-018</c:v>
                </c:pt>
                <c:pt idx="76">
                  <c:v>3.68278171891804E-018</c:v>
                </c:pt>
                <c:pt idx="77">
                  <c:v>3.37745591382334E-018</c:v>
                </c:pt>
                <c:pt idx="78">
                  <c:v>3.08037706142403E-018</c:v>
                </c:pt>
                <c:pt idx="79">
                  <c:v>2.79189263105374E-018</c:v>
                </c:pt>
                <c:pt idx="80">
                  <c:v>2.51238216593754E-018</c:v>
                </c:pt>
                <c:pt idx="81">
                  <c:v>2.24226306649154E-018</c:v>
                </c:pt>
                <c:pt idx="82">
                  <c:v>1.98199795773247E-018</c:v>
                </c:pt>
                <c:pt idx="83">
                  <c:v>1.7321042493031E-018</c:v>
                </c:pt>
                <c:pt idx="84">
                  <c:v>1.49316681009068E-018</c:v>
                </c:pt>
                <c:pt idx="85">
                  <c:v>1.26585520413954E-018</c:v>
                </c:pt>
                <c:pt idx="86">
                  <c:v>1.05094785443991E-018</c:v>
                </c:pt>
                <c:pt idx="87">
                  <c:v>8.49367206204027E-019</c:v>
                </c:pt>
                <c:pt idx="88">
                  <c:v>6.62233346330035E-019</c:v>
                </c:pt>
                <c:pt idx="89">
                  <c:v>4.90950868599101E-019</c:v>
                </c:pt>
                <c:pt idx="90">
                  <c:v>3.37361596305054E-019</c:v>
                </c:pt>
                <c:pt idx="91">
                  <c:v>2.04046661241064E-019</c:v>
                </c:pt>
                <c:pt idx="92">
                  <c:v>9.50477907233652E-020</c:v>
                </c:pt>
                <c:pt idx="93">
                  <c:v>1.83813533587944E-020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/>
          <c:smooth val="1"/>
          <c:xVal>
            <c:numRef>
              <c:f>'FPA Calc'!$N$36:$N$37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</c:ser>
        <c:axId val="23670"/>
        <c:axId val="3669"/>
      </c:scatterChart>
      <c:valAx>
        <c:axId val="23670"/>
        <c:scaling>
          <c:orientation val="minMax"/>
          <c:max val="100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Spatial Frequency (cycles/mm)</a:t>
                </a:r>
              </a:p>
            </c:rich>
          </c:tx>
        </c:title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878787"/>
              </a:solidFill>
              <a:round/>
            </a:ln>
          </c:spPr>
        </c:minorGridlines>
        <c:majorTickMark val="none"/>
        <c:minorTickMark val="none"/>
        <c:tickLblPos val="nextTo"/>
        <c:crossAx val="3669"/>
        <c:crossesAt val="0"/>
        <c:majorUnit val="10"/>
        <c:minorUnit val="5"/>
        <c:spPr>
          <a:ln w="12600">
            <a:solidFill>
              <a:srgbClr val="878787"/>
            </a:solidFill>
            <a:round/>
          </a:ln>
        </c:spPr>
      </c:valAx>
      <c:valAx>
        <c:axId val="3669"/>
        <c:scaling>
          <c:orientation val="minMax"/>
          <c:max val="1"/>
          <c:min val="0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MTF at FPA</a:t>
                </a:r>
              </a:p>
            </c:rich>
          </c:tx>
        </c:title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minorGridlines>
          <c:spPr>
            <a:ln w="12600">
              <a:solidFill>
                <a:srgbClr val="878787"/>
              </a:solidFill>
              <a:round/>
            </a:ln>
          </c:spPr>
        </c:minorGridlines>
        <c:majorTickMark val="none"/>
        <c:minorTickMark val="none"/>
        <c:tickLblPos val="nextTo"/>
        <c:crossAx val="23670"/>
        <c:crossesAt val="0"/>
        <c:majorUnit val="0.1"/>
        <c:minorUnit val="0.05"/>
        <c:spPr>
          <a:ln w="12600">
            <a:solidFill>
              <a:srgbClr val="878787"/>
            </a:solidFill>
            <a:round/>
          </a:ln>
        </c:spPr>
      </c:valAx>
      <c:spPr>
        <a:solidFill>
          <a:srgbClr val="ffffff"/>
        </a:solidFill>
      </c:spPr>
    </c:plotArea>
    <c:legend>
      <c:legendPos val="r"/>
      <c:spPr/>
    </c:legend>
    <c:plotVisOnly val="1"/>
  </c:chart>
  <c:spPr/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  <a:ea typeface="Calibri"/>
              </a:rPr>
              <a:t>Diffraction Limited Optical MTF, Ideal Array MTF and Resultant Total MTF vs Angular Frequency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solidFill>
              <a:srgbClr val="4a7ebb"/>
            </a:solidFill>
            <a:ln w="38160">
              <a:solidFill>
                <a:srgbClr val="4a7ebb"/>
              </a:solidFill>
              <a:round/>
            </a:ln>
          </c:spPr>
          <c:marker/>
          <c:smooth val="1"/>
          <c:xVal>
            <c:numRef>
              <c:f>MTFcalculations!$A$3:$A$103</c:f>
              <c:numCache>
                <c:formatCode>General</c:formatCode>
                <c:ptCount val="101"/>
                <c:pt idx="0">
                  <c:v>4.36332312998582E-005</c:v>
                </c:pt>
                <c:pt idx="1">
                  <c:v>0.436332312998582</c:v>
                </c:pt>
                <c:pt idx="2">
                  <c:v>0.872664625997165</c:v>
                </c:pt>
                <c:pt idx="3">
                  <c:v>1.30899693899575</c:v>
                </c:pt>
                <c:pt idx="4">
                  <c:v>1.74532925199433</c:v>
                </c:pt>
                <c:pt idx="5">
                  <c:v>2.18166156499291</c:v>
                </c:pt>
                <c:pt idx="6">
                  <c:v>2.61799387799149</c:v>
                </c:pt>
                <c:pt idx="7">
                  <c:v>3.05432619099008</c:v>
                </c:pt>
                <c:pt idx="8">
                  <c:v>3.49065850398866</c:v>
                </c:pt>
                <c:pt idx="9">
                  <c:v>3.92699081698724</c:v>
                </c:pt>
                <c:pt idx="10">
                  <c:v>4.36332312998582</c:v>
                </c:pt>
                <c:pt idx="11">
                  <c:v>4.79965544298441</c:v>
                </c:pt>
                <c:pt idx="12">
                  <c:v>5.23598775598299</c:v>
                </c:pt>
                <c:pt idx="13">
                  <c:v>5.67232006898157</c:v>
                </c:pt>
                <c:pt idx="14">
                  <c:v>6.10865238198015</c:v>
                </c:pt>
                <c:pt idx="15">
                  <c:v>6.54498469497874</c:v>
                </c:pt>
                <c:pt idx="16">
                  <c:v>6.98131700797732</c:v>
                </c:pt>
                <c:pt idx="17">
                  <c:v>7.4176493209759</c:v>
                </c:pt>
                <c:pt idx="18">
                  <c:v>7.85398163397448</c:v>
                </c:pt>
                <c:pt idx="19">
                  <c:v>8.29031394697307</c:v>
                </c:pt>
                <c:pt idx="20">
                  <c:v>8.72664625997165</c:v>
                </c:pt>
                <c:pt idx="21">
                  <c:v>9.16297857297023</c:v>
                </c:pt>
                <c:pt idx="22">
                  <c:v>9.59931088596881</c:v>
                </c:pt>
                <c:pt idx="23">
                  <c:v>10.0356431989674</c:v>
                </c:pt>
                <c:pt idx="24">
                  <c:v>10.471975511966</c:v>
                </c:pt>
                <c:pt idx="25">
                  <c:v>10.9083078249646</c:v>
                </c:pt>
                <c:pt idx="26">
                  <c:v>11.3446401379631</c:v>
                </c:pt>
                <c:pt idx="27">
                  <c:v>11.7809724509617</c:v>
                </c:pt>
                <c:pt idx="28">
                  <c:v>12.2173047639603</c:v>
                </c:pt>
                <c:pt idx="29">
                  <c:v>12.6536370769589</c:v>
                </c:pt>
                <c:pt idx="30">
                  <c:v>13.0899693899575</c:v>
                </c:pt>
                <c:pt idx="31">
                  <c:v>13.5263017029561</c:v>
                </c:pt>
                <c:pt idx="32">
                  <c:v>13.9626340159546</c:v>
                </c:pt>
                <c:pt idx="33">
                  <c:v>14.3989663289532</c:v>
                </c:pt>
                <c:pt idx="34">
                  <c:v>14.8352986419518</c:v>
                </c:pt>
                <c:pt idx="35">
                  <c:v>15.2716309549504</c:v>
                </c:pt>
                <c:pt idx="36">
                  <c:v>15.707963267949</c:v>
                </c:pt>
                <c:pt idx="37">
                  <c:v>16.1442955809476</c:v>
                </c:pt>
                <c:pt idx="38">
                  <c:v>16.5806278939461</c:v>
                </c:pt>
                <c:pt idx="39">
                  <c:v>17.0169602069447</c:v>
                </c:pt>
                <c:pt idx="40">
                  <c:v>17.4532925199433</c:v>
                </c:pt>
                <c:pt idx="41">
                  <c:v>17.8896248329419</c:v>
                </c:pt>
                <c:pt idx="42">
                  <c:v>18.3259571459405</c:v>
                </c:pt>
                <c:pt idx="43">
                  <c:v>18.762289458939</c:v>
                </c:pt>
                <c:pt idx="44">
                  <c:v>19.1986217719376</c:v>
                </c:pt>
                <c:pt idx="45">
                  <c:v>19.6349540849362</c:v>
                </c:pt>
                <c:pt idx="46">
                  <c:v>20.0712863979348</c:v>
                </c:pt>
                <c:pt idx="47">
                  <c:v>20.5076187109334</c:v>
                </c:pt>
                <c:pt idx="48">
                  <c:v>20.943951023932</c:v>
                </c:pt>
                <c:pt idx="49">
                  <c:v>21.3802833369305</c:v>
                </c:pt>
                <c:pt idx="50">
                  <c:v>21.8166156499291</c:v>
                </c:pt>
                <c:pt idx="51">
                  <c:v>22.2529479629277</c:v>
                </c:pt>
                <c:pt idx="52">
                  <c:v>22.6892802759263</c:v>
                </c:pt>
                <c:pt idx="53">
                  <c:v>23.1256125889249</c:v>
                </c:pt>
                <c:pt idx="54">
                  <c:v>23.5619449019234</c:v>
                </c:pt>
                <c:pt idx="55">
                  <c:v>23.998277214922</c:v>
                </c:pt>
                <c:pt idx="56">
                  <c:v>24.4346095279206</c:v>
                </c:pt>
                <c:pt idx="57">
                  <c:v>24.8709418409192</c:v>
                </c:pt>
                <c:pt idx="58">
                  <c:v>25.3072741539178</c:v>
                </c:pt>
                <c:pt idx="59">
                  <c:v>25.7436064669164</c:v>
                </c:pt>
                <c:pt idx="60">
                  <c:v>26.1799387799149</c:v>
                </c:pt>
                <c:pt idx="61">
                  <c:v>26.6162710929135</c:v>
                </c:pt>
                <c:pt idx="62">
                  <c:v>27.0526034059121</c:v>
                </c:pt>
                <c:pt idx="63">
                  <c:v>27.4889357189107</c:v>
                </c:pt>
                <c:pt idx="64">
                  <c:v>27.9252680319093</c:v>
                </c:pt>
                <c:pt idx="65">
                  <c:v>28.3616003449079</c:v>
                </c:pt>
                <c:pt idx="66">
                  <c:v>28.7979326579064</c:v>
                </c:pt>
                <c:pt idx="67">
                  <c:v>29.234264970905</c:v>
                </c:pt>
                <c:pt idx="68">
                  <c:v>29.6705972839036</c:v>
                </c:pt>
                <c:pt idx="69">
                  <c:v>30.1069295969022</c:v>
                </c:pt>
                <c:pt idx="70">
                  <c:v>30.5432619099008</c:v>
                </c:pt>
                <c:pt idx="71">
                  <c:v>30.9795942228993</c:v>
                </c:pt>
                <c:pt idx="72">
                  <c:v>31.4159265358979</c:v>
                </c:pt>
                <c:pt idx="73">
                  <c:v>31.8522588488965</c:v>
                </c:pt>
                <c:pt idx="74">
                  <c:v>32.2885911618951</c:v>
                </c:pt>
                <c:pt idx="75">
                  <c:v>32.7249234748937</c:v>
                </c:pt>
                <c:pt idx="76">
                  <c:v>33.1612557878923</c:v>
                </c:pt>
                <c:pt idx="77">
                  <c:v>33.5975881008908</c:v>
                </c:pt>
                <c:pt idx="78">
                  <c:v>34.0339204138894</c:v>
                </c:pt>
                <c:pt idx="79">
                  <c:v>34.470252726888</c:v>
                </c:pt>
                <c:pt idx="80">
                  <c:v>34.9065850398866</c:v>
                </c:pt>
                <c:pt idx="81">
                  <c:v>35.3429173528852</c:v>
                </c:pt>
                <c:pt idx="82">
                  <c:v>35.7792496658838</c:v>
                </c:pt>
                <c:pt idx="83">
                  <c:v>36.2155819788823</c:v>
                </c:pt>
                <c:pt idx="84">
                  <c:v>36.6519142918809</c:v>
                </c:pt>
                <c:pt idx="85">
                  <c:v>37.0882466048795</c:v>
                </c:pt>
                <c:pt idx="86">
                  <c:v>37.5245789178781</c:v>
                </c:pt>
                <c:pt idx="87">
                  <c:v>37.9609112308767</c:v>
                </c:pt>
                <c:pt idx="88">
                  <c:v>38.3972435438752</c:v>
                </c:pt>
                <c:pt idx="89">
                  <c:v>38.8335758568738</c:v>
                </c:pt>
                <c:pt idx="90">
                  <c:v>39.2699081698724</c:v>
                </c:pt>
                <c:pt idx="91">
                  <c:v>39.706240482871</c:v>
                </c:pt>
                <c:pt idx="92">
                  <c:v>40.1425727958696</c:v>
                </c:pt>
                <c:pt idx="93">
                  <c:v>40.5789051088682</c:v>
                </c:pt>
                <c:pt idx="94">
                  <c:v>41.0152374218667</c:v>
                </c:pt>
                <c:pt idx="95">
                  <c:v>41.4515697348653</c:v>
                </c:pt>
                <c:pt idx="96">
                  <c:v>41.8879020478639</c:v>
                </c:pt>
                <c:pt idx="97">
                  <c:v>42.3242343608625</c:v>
                </c:pt>
                <c:pt idx="98">
                  <c:v>42.7605666738611</c:v>
                </c:pt>
                <c:pt idx="99">
                  <c:v>43.1968989868597</c:v>
                </c:pt>
                <c:pt idx="100">
                  <c:v>43.6332312998582</c:v>
                </c:pt>
              </c:numCache>
            </c:numRef>
          </c:xVal>
          <c:yVal>
            <c:numRef>
              <c:f>MTFcalculations!$E$3:$E$103</c:f>
              <c:numCache>
                <c:formatCode>General</c:formatCode>
                <c:ptCount val="101"/>
                <c:pt idx="0">
                  <c:v>0.999998638270307</c:v>
                </c:pt>
                <c:pt idx="1">
                  <c:v>0.986382962671448</c:v>
                </c:pt>
                <c:pt idx="2">
                  <c:v>0.972767483064154</c:v>
                </c:pt>
                <c:pt idx="3">
                  <c:v>0.959155119434171</c:v>
                </c:pt>
                <c:pt idx="4">
                  <c:v>0.945547431108046</c:v>
                </c:pt>
                <c:pt idx="5">
                  <c:v>0.931945979020381</c:v>
                </c:pt>
                <c:pt idx="6">
                  <c:v>0.918352326254144</c:v>
                </c:pt>
                <c:pt idx="7">
                  <c:v>0.904768038584707</c:v>
                </c:pt>
                <c:pt idx="8">
                  <c:v>0.891194685028545</c:v>
                </c:pt>
                <c:pt idx="9">
                  <c:v>0.87763383839757</c:v>
                </c:pt>
                <c:pt idx="10">
                  <c:v>0.86408707586012</c:v>
                </c:pt>
                <c:pt idx="11">
                  <c:v>0.8505559795096</c:v>
                </c:pt>
                <c:pt idx="12">
                  <c:v>0.837042136941848</c:v>
                </c:pt>
                <c:pt idx="13">
                  <c:v>0.823547141842322</c:v>
                </c:pt>
                <c:pt idx="14">
                  <c:v>0.810072594584227</c:v>
                </c:pt>
                <c:pt idx="15">
                  <c:v>0.796620102838787</c:v>
                </c:pt>
                <c:pt idx="16">
                  <c:v>0.783191282198868</c:v>
                </c:pt>
                <c:pt idx="17">
                  <c:v>0.769787756817273</c:v>
                </c:pt>
                <c:pt idx="18">
                  <c:v>0.756411160061047</c:v>
                </c:pt>
                <c:pt idx="19">
                  <c:v>0.74306313518323</c:v>
                </c:pt>
                <c:pt idx="20">
                  <c:v>0.72974533601357</c:v>
                </c:pt>
                <c:pt idx="21">
                  <c:v>0.716459427669786</c:v>
                </c:pt>
                <c:pt idx="22">
                  <c:v>0.703207087291086</c:v>
                </c:pt>
                <c:pt idx="23">
                  <c:v>0.68999000479574</c:v>
                </c:pt>
                <c:pt idx="24">
                  <c:v>0.676809883664627</c:v>
                </c:pt>
                <c:pt idx="25">
                  <c:v>0.663668441752811</c:v>
                </c:pt>
                <c:pt idx="26">
                  <c:v>0.650567412131342</c:v>
                </c:pt>
                <c:pt idx="27">
                  <c:v>0.637508543961638</c:v>
                </c:pt>
                <c:pt idx="28">
                  <c:v>0.624493603404977</c:v>
                </c:pt>
                <c:pt idx="29">
                  <c:v>0.611524374569815</c:v>
                </c:pt>
                <c:pt idx="30">
                  <c:v>0.59860266049988</c:v>
                </c:pt>
                <c:pt idx="31">
                  <c:v>0.585730284206204</c:v>
                </c:pt>
                <c:pt idx="32">
                  <c:v>0.572909089746522</c:v>
                </c:pt>
                <c:pt idx="33">
                  <c:v>0.560140943355773</c:v>
                </c:pt>
                <c:pt idx="34">
                  <c:v>0.547427734631723</c:v>
                </c:pt>
                <c:pt idx="35">
                  <c:v>0.534771377780134</c:v>
                </c:pt>
                <c:pt idx="36">
                  <c:v>0.522173812924238</c:v>
                </c:pt>
                <c:pt idx="37">
                  <c:v>0.509637007483782</c:v>
                </c:pt>
                <c:pt idx="38">
                  <c:v>0.497162957629335</c:v>
                </c:pt>
                <c:pt idx="39">
                  <c:v>0.484753689818153</c:v>
                </c:pt>
                <c:pt idx="40">
                  <c:v>0.47241126241847</c:v>
                </c:pt>
                <c:pt idx="41">
                  <c:v>0.460137767429797</c:v>
                </c:pt>
                <c:pt idx="42">
                  <c:v>0.447935332307564</c:v>
                </c:pt>
                <c:pt idx="43">
                  <c:v>0.435806121901337</c:v>
                </c:pt>
                <c:pt idx="44">
                  <c:v>0.423752340516782</c:v>
                </c:pt>
                <c:pt idx="45">
                  <c:v>0.411776234112707</c:v>
                </c:pt>
                <c:pt idx="46">
                  <c:v>0.399880092645723</c:v>
                </c:pt>
                <c:pt idx="47">
                  <c:v>0.388066252576524</c:v>
                </c:pt>
                <c:pt idx="48">
                  <c:v>0.376337099553399</c:v>
                </c:pt>
                <c:pt idx="49">
                  <c:v>0.364695071290445</c:v>
                </c:pt>
                <c:pt idx="50">
                  <c:v>0.35314266066008</c:v>
                </c:pt>
                <c:pt idx="51">
                  <c:v>0.341682419021876</c:v>
                </c:pt>
                <c:pt idx="52">
                  <c:v>0.330316959812577</c:v>
                </c:pt>
                <c:pt idx="53">
                  <c:v>0.319048962425366</c:v>
                </c:pt>
                <c:pt idx="54">
                  <c:v>0.307881176410245</c:v>
                </c:pt>
                <c:pt idx="55">
                  <c:v>0.29681642603173</c:v>
                </c:pt>
                <c:pt idx="56">
                  <c:v>0.28585761522521</c:v>
                </c:pt>
                <c:pt idx="57">
                  <c:v>0.275007732999247</c:v>
                </c:pt>
                <c:pt idx="58">
                  <c:v>0.264269859338174</c:v>
                </c:pt>
                <c:pt idx="59">
                  <c:v>0.253647171667634</c:v>
                </c:pt>
                <c:pt idx="60">
                  <c:v>0.243142951955563</c:v>
                </c:pt>
                <c:pt idx="61">
                  <c:v>0.232760594532891</c:v>
                </c:pt>
                <c:pt idx="62">
                  <c:v>0.22250361473228</c:v>
                </c:pt>
                <c:pt idx="63">
                  <c:v>0.212375658460215</c:v>
                </c:pt>
                <c:pt idx="64">
                  <c:v>0.202380512838255</c:v>
                </c:pt>
                <c:pt idx="65">
                  <c:v>0.19252211807428</c:v>
                </c:pt>
                <c:pt idx="66">
                  <c:v>0.182804580755213</c:v>
                </c:pt>
                <c:pt idx="67">
                  <c:v>0.17323218879049</c:v>
                </c:pt>
                <c:pt idx="68">
                  <c:v>0.163809428282573</c:v>
                </c:pt>
                <c:pt idx="69">
                  <c:v>0.154541002659591</c:v>
                </c:pt>
                <c:pt idx="70">
                  <c:v>0.145431854479488</c:v>
                </c:pt>
                <c:pt idx="71">
                  <c:v>0.136487190409618</c:v>
                </c:pt>
                <c:pt idx="72">
                  <c:v>0.127712510007293</c:v>
                </c:pt>
                <c:pt idx="73">
                  <c:v>0.119113639084725</c:v>
                </c:pt>
                <c:pt idx="74">
                  <c:v>0.110696768649148</c:v>
                </c:pt>
                <c:pt idx="75">
                  <c:v>0.102468500684584</c:v>
                </c:pt>
                <c:pt idx="76">
                  <c:v>0.0944359024130725</c:v>
                </c:pt>
                <c:pt idx="77">
                  <c:v>0.0866065711806511</c:v>
                </c:pt>
                <c:pt idx="78">
                  <c:v>0.0789887128183012</c:v>
                </c:pt>
                <c:pt idx="79">
                  <c:v>0.0715912373246564</c:v>
                </c:pt>
                <c:pt idx="80">
                  <c:v>0.0644238771546106</c:v>
                </c:pt>
                <c:pt idx="81">
                  <c:v>0.0574973355178492</c:v>
                </c:pt>
                <c:pt idx="82">
                  <c:v>0.0508234752979933</c:v>
                </c:pt>
                <c:pt idx="83">
                  <c:v>0.044415564195999</c:v>
                </c:pt>
                <c:pt idx="84">
                  <c:v>0.0382885997396525</c:v>
                </c:pt>
                <c:pt idx="85">
                  <c:v>0.0324597512562656</c:v>
                </c:pt>
                <c:pt idx="86">
                  <c:v>0.0269489794937596</c:v>
                </c:pt>
                <c:pt idx="87">
                  <c:v>0.021779938296618</c:v>
                </c:pt>
                <c:pt idx="88">
                  <c:v>0.0169813495454949</c:v>
                </c:pt>
                <c:pt idx="89">
                  <c:v>0.0125892306020947</c:v>
                </c:pt>
                <c:pt idx="90">
                  <c:v>0.00865081050634255</c:v>
                </c:pt>
                <c:pt idx="91">
                  <c:v>0.00523227605092369</c:v>
                </c:pt>
                <c:pt idx="92">
                  <c:v>0.00243726741751257</c:v>
                </c:pt>
                <c:pt idx="93">
                  <c:v>0.000471344712909374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spPr>
            <a:solidFill>
              <a:srgbClr val="be4b48"/>
            </a:solidFill>
            <a:ln w="38160">
              <a:solidFill>
                <a:srgbClr val="be4b48"/>
              </a:solidFill>
              <a:round/>
            </a:ln>
          </c:spPr>
          <c:marker/>
          <c:smooth val="1"/>
          <c:xVal>
            <c:numRef>
              <c:f>MTFcalculations!$A$3:$A$103</c:f>
              <c:numCache>
                <c:formatCode>General</c:formatCode>
                <c:ptCount val="101"/>
                <c:pt idx="0">
                  <c:v>4.36332312998582E-005</c:v>
                </c:pt>
                <c:pt idx="1">
                  <c:v>0.436332312998582</c:v>
                </c:pt>
                <c:pt idx="2">
                  <c:v>0.872664625997165</c:v>
                </c:pt>
                <c:pt idx="3">
                  <c:v>1.30899693899575</c:v>
                </c:pt>
                <c:pt idx="4">
                  <c:v>1.74532925199433</c:v>
                </c:pt>
                <c:pt idx="5">
                  <c:v>2.18166156499291</c:v>
                </c:pt>
                <c:pt idx="6">
                  <c:v>2.61799387799149</c:v>
                </c:pt>
                <c:pt idx="7">
                  <c:v>3.05432619099008</c:v>
                </c:pt>
                <c:pt idx="8">
                  <c:v>3.49065850398866</c:v>
                </c:pt>
                <c:pt idx="9">
                  <c:v>3.92699081698724</c:v>
                </c:pt>
                <c:pt idx="10">
                  <c:v>4.36332312998582</c:v>
                </c:pt>
                <c:pt idx="11">
                  <c:v>4.79965544298441</c:v>
                </c:pt>
                <c:pt idx="12">
                  <c:v>5.23598775598299</c:v>
                </c:pt>
                <c:pt idx="13">
                  <c:v>5.67232006898157</c:v>
                </c:pt>
                <c:pt idx="14">
                  <c:v>6.10865238198015</c:v>
                </c:pt>
                <c:pt idx="15">
                  <c:v>6.54498469497874</c:v>
                </c:pt>
                <c:pt idx="16">
                  <c:v>6.98131700797732</c:v>
                </c:pt>
                <c:pt idx="17">
                  <c:v>7.4176493209759</c:v>
                </c:pt>
                <c:pt idx="18">
                  <c:v>7.85398163397448</c:v>
                </c:pt>
                <c:pt idx="19">
                  <c:v>8.29031394697307</c:v>
                </c:pt>
                <c:pt idx="20">
                  <c:v>8.72664625997165</c:v>
                </c:pt>
                <c:pt idx="21">
                  <c:v>9.16297857297023</c:v>
                </c:pt>
                <c:pt idx="22">
                  <c:v>9.59931088596881</c:v>
                </c:pt>
                <c:pt idx="23">
                  <c:v>10.0356431989674</c:v>
                </c:pt>
                <c:pt idx="24">
                  <c:v>10.471975511966</c:v>
                </c:pt>
                <c:pt idx="25">
                  <c:v>10.9083078249646</c:v>
                </c:pt>
                <c:pt idx="26">
                  <c:v>11.3446401379631</c:v>
                </c:pt>
                <c:pt idx="27">
                  <c:v>11.7809724509617</c:v>
                </c:pt>
                <c:pt idx="28">
                  <c:v>12.2173047639603</c:v>
                </c:pt>
                <c:pt idx="29">
                  <c:v>12.6536370769589</c:v>
                </c:pt>
                <c:pt idx="30">
                  <c:v>13.0899693899575</c:v>
                </c:pt>
                <c:pt idx="31">
                  <c:v>13.5263017029561</c:v>
                </c:pt>
                <c:pt idx="32">
                  <c:v>13.9626340159546</c:v>
                </c:pt>
                <c:pt idx="33">
                  <c:v>14.3989663289532</c:v>
                </c:pt>
                <c:pt idx="34">
                  <c:v>14.8352986419518</c:v>
                </c:pt>
                <c:pt idx="35">
                  <c:v>15.2716309549504</c:v>
                </c:pt>
                <c:pt idx="36">
                  <c:v>15.707963267949</c:v>
                </c:pt>
                <c:pt idx="37">
                  <c:v>16.1442955809476</c:v>
                </c:pt>
                <c:pt idx="38">
                  <c:v>16.5806278939461</c:v>
                </c:pt>
                <c:pt idx="39">
                  <c:v>17.0169602069447</c:v>
                </c:pt>
                <c:pt idx="40">
                  <c:v>17.4532925199433</c:v>
                </c:pt>
                <c:pt idx="41">
                  <c:v>17.8896248329419</c:v>
                </c:pt>
                <c:pt idx="42">
                  <c:v>18.3259571459405</c:v>
                </c:pt>
                <c:pt idx="43">
                  <c:v>18.762289458939</c:v>
                </c:pt>
                <c:pt idx="44">
                  <c:v>19.1986217719376</c:v>
                </c:pt>
                <c:pt idx="45">
                  <c:v>19.6349540849362</c:v>
                </c:pt>
                <c:pt idx="46">
                  <c:v>20.0712863979348</c:v>
                </c:pt>
                <c:pt idx="47">
                  <c:v>20.5076187109334</c:v>
                </c:pt>
                <c:pt idx="48">
                  <c:v>20.943951023932</c:v>
                </c:pt>
                <c:pt idx="49">
                  <c:v>21.3802833369305</c:v>
                </c:pt>
                <c:pt idx="50">
                  <c:v>21.8166156499291</c:v>
                </c:pt>
                <c:pt idx="51">
                  <c:v>22.2529479629277</c:v>
                </c:pt>
                <c:pt idx="52">
                  <c:v>22.6892802759263</c:v>
                </c:pt>
                <c:pt idx="53">
                  <c:v>23.1256125889249</c:v>
                </c:pt>
                <c:pt idx="54">
                  <c:v>23.5619449019234</c:v>
                </c:pt>
                <c:pt idx="55">
                  <c:v>23.998277214922</c:v>
                </c:pt>
                <c:pt idx="56">
                  <c:v>24.4346095279206</c:v>
                </c:pt>
                <c:pt idx="57">
                  <c:v>24.8709418409192</c:v>
                </c:pt>
                <c:pt idx="58">
                  <c:v>25.3072741539178</c:v>
                </c:pt>
                <c:pt idx="59">
                  <c:v>25.7436064669164</c:v>
                </c:pt>
                <c:pt idx="60">
                  <c:v>26.1799387799149</c:v>
                </c:pt>
                <c:pt idx="61">
                  <c:v>26.6162710929135</c:v>
                </c:pt>
                <c:pt idx="62">
                  <c:v>27.0526034059121</c:v>
                </c:pt>
                <c:pt idx="63">
                  <c:v>27.4889357189107</c:v>
                </c:pt>
                <c:pt idx="64">
                  <c:v>27.9252680319093</c:v>
                </c:pt>
                <c:pt idx="65">
                  <c:v>28.3616003449079</c:v>
                </c:pt>
                <c:pt idx="66">
                  <c:v>28.7979326579064</c:v>
                </c:pt>
                <c:pt idx="67">
                  <c:v>29.234264970905</c:v>
                </c:pt>
                <c:pt idx="68">
                  <c:v>29.6705972839036</c:v>
                </c:pt>
                <c:pt idx="69">
                  <c:v>30.1069295969022</c:v>
                </c:pt>
                <c:pt idx="70">
                  <c:v>30.5432619099008</c:v>
                </c:pt>
                <c:pt idx="71">
                  <c:v>30.9795942228993</c:v>
                </c:pt>
                <c:pt idx="72">
                  <c:v>31.4159265358979</c:v>
                </c:pt>
                <c:pt idx="73">
                  <c:v>31.8522588488965</c:v>
                </c:pt>
                <c:pt idx="74">
                  <c:v>32.2885911618951</c:v>
                </c:pt>
                <c:pt idx="75">
                  <c:v>32.7249234748937</c:v>
                </c:pt>
                <c:pt idx="76">
                  <c:v>33.1612557878923</c:v>
                </c:pt>
                <c:pt idx="77">
                  <c:v>33.5975881008908</c:v>
                </c:pt>
                <c:pt idx="78">
                  <c:v>34.0339204138894</c:v>
                </c:pt>
                <c:pt idx="79">
                  <c:v>34.470252726888</c:v>
                </c:pt>
                <c:pt idx="80">
                  <c:v>34.9065850398866</c:v>
                </c:pt>
                <c:pt idx="81">
                  <c:v>35.3429173528852</c:v>
                </c:pt>
                <c:pt idx="82">
                  <c:v>35.7792496658838</c:v>
                </c:pt>
                <c:pt idx="83">
                  <c:v>36.2155819788823</c:v>
                </c:pt>
                <c:pt idx="84">
                  <c:v>36.6519142918809</c:v>
                </c:pt>
                <c:pt idx="85">
                  <c:v>37.0882466048795</c:v>
                </c:pt>
                <c:pt idx="86">
                  <c:v>37.5245789178781</c:v>
                </c:pt>
                <c:pt idx="87">
                  <c:v>37.9609112308767</c:v>
                </c:pt>
                <c:pt idx="88">
                  <c:v>38.3972435438752</c:v>
                </c:pt>
                <c:pt idx="89">
                  <c:v>38.8335758568738</c:v>
                </c:pt>
                <c:pt idx="90">
                  <c:v>39.2699081698724</c:v>
                </c:pt>
                <c:pt idx="91">
                  <c:v>39.706240482871</c:v>
                </c:pt>
                <c:pt idx="92">
                  <c:v>40.1425727958696</c:v>
                </c:pt>
                <c:pt idx="93">
                  <c:v>40.5789051088682</c:v>
                </c:pt>
                <c:pt idx="94">
                  <c:v>41.0152374218667</c:v>
                </c:pt>
                <c:pt idx="95">
                  <c:v>41.4515697348653</c:v>
                </c:pt>
                <c:pt idx="96">
                  <c:v>41.8879020478639</c:v>
                </c:pt>
                <c:pt idx="97">
                  <c:v>42.3242343608625</c:v>
                </c:pt>
                <c:pt idx="98">
                  <c:v>42.7605666738611</c:v>
                </c:pt>
                <c:pt idx="99">
                  <c:v>43.1968989868597</c:v>
                </c:pt>
                <c:pt idx="100">
                  <c:v>43.6332312998582</c:v>
                </c:pt>
              </c:numCache>
            </c:numRef>
          </c:xVal>
          <c:yVal>
            <c:numRef>
              <c:f>MTFcalculations!$F$3:$F$103</c:f>
              <c:numCache>
                <c:formatCode>General</c:formatCode>
                <c:ptCount val="101"/>
                <c:pt idx="0">
                  <c:v>0.99999999999342</c:v>
                </c:pt>
                <c:pt idx="1">
                  <c:v>0.999342156239841</c:v>
                </c:pt>
                <c:pt idx="2">
                  <c:v>0.997370182772503</c:v>
                </c:pt>
                <c:pt idx="3">
                  <c:v>0.994088748645851</c:v>
                </c:pt>
                <c:pt idx="4">
                  <c:v>0.989505620981308</c:v>
                </c:pt>
                <c:pt idx="5">
                  <c:v>0.983631643083466</c:v>
                </c:pt>
                <c:pt idx="6">
                  <c:v>0.976480703887656</c:v>
                </c:pt>
                <c:pt idx="7">
                  <c:v>0.968069698839238</c:v>
                </c:pt>
                <c:pt idx="8">
                  <c:v>0.958418482324625</c:v>
                </c:pt>
                <c:pt idx="9">
                  <c:v>0.947549811799943</c:v>
                </c:pt>
                <c:pt idx="10">
                  <c:v>0.935489283788639</c:v>
                </c:pt>
                <c:pt idx="11">
                  <c:v>0.922265261944196</c:v>
                </c:pt>
                <c:pt idx="12">
                  <c:v>0.907908797398351</c:v>
                </c:pt>
                <c:pt idx="13">
                  <c:v>0.892453541638706</c:v>
                </c:pt>
                <c:pt idx="14">
                  <c:v>0.875935652182375</c:v>
                </c:pt>
                <c:pt idx="15">
                  <c:v>0.85839369133414</c:v>
                </c:pt>
                <c:pt idx="16">
                  <c:v>0.83986851833857</c:v>
                </c:pt>
                <c:pt idx="17">
                  <c:v>0.820403175255464</c:v>
                </c:pt>
                <c:pt idx="18">
                  <c:v>0.800042766906871</c:v>
                </c:pt>
                <c:pt idx="19">
                  <c:v>0.778834335261722</c:v>
                </c:pt>
                <c:pt idx="20">
                  <c:v>0.756826728640657</c:v>
                </c:pt>
                <c:pt idx="21">
                  <c:v>0.734070466139026</c:v>
                </c:pt>
                <c:pt idx="22">
                  <c:v>0.710617597680085</c:v>
                </c:pt>
                <c:pt idx="23">
                  <c:v>0.686521560123211</c:v>
                </c:pt>
                <c:pt idx="24">
                  <c:v>0.6618370298633</c:v>
                </c:pt>
                <c:pt idx="25">
                  <c:v>0.636619772367581</c:v>
                </c:pt>
                <c:pt idx="26">
                  <c:v>0.610926489104585</c:v>
                </c:pt>
                <c:pt idx="27">
                  <c:v>0.584814662327179</c:v>
                </c:pt>
                <c:pt idx="28">
                  <c:v>0.55834239817721</c:v>
                </c:pt>
                <c:pt idx="29">
                  <c:v>0.531568268583432</c:v>
                </c:pt>
                <c:pt idx="30">
                  <c:v>0.504551152427105</c:v>
                </c:pt>
                <c:pt idx="31">
                  <c:v>0.477350076450733</c:v>
                </c:pt>
                <c:pt idx="32">
                  <c:v>0.450024056385115</c:v>
                </c:pt>
                <c:pt idx="33">
                  <c:v>0.422631938767966</c:v>
                </c:pt>
                <c:pt idx="34">
                  <c:v>0.395232243924033</c:v>
                </c:pt>
                <c:pt idx="35">
                  <c:v>0.367883010571774</c:v>
                </c:pt>
                <c:pt idx="36">
                  <c:v>0.340641642515368</c:v>
                </c:pt>
                <c:pt idx="37">
                  <c:v>0.313564757873059</c:v>
                </c:pt>
                <c:pt idx="38">
                  <c:v>0.28670804128369</c:v>
                </c:pt>
                <c:pt idx="39">
                  <c:v>0.260126099522722</c:v>
                </c:pt>
                <c:pt idx="40">
                  <c:v>0.23387232094716</c:v>
                </c:pt>
                <c:pt idx="41">
                  <c:v>0.207998739175597</c:v>
                </c:pt>
                <c:pt idx="42">
                  <c:v>0.182555901395167</c:v>
                </c:pt>
                <c:pt idx="43">
                  <c:v>0.157592741671504</c:v>
                </c:pt>
                <c:pt idx="44">
                  <c:v>0.133156459621044</c:v>
                </c:pt>
                <c:pt idx="45">
                  <c:v>0.109292404787052</c:v>
                </c:pt>
                <c:pt idx="46">
                  <c:v>0.0860439670418529</c:v>
                </c:pt>
                <c:pt idx="47">
                  <c:v>0.0634524733178203</c:v>
                </c:pt>
                <c:pt idx="48">
                  <c:v>0.0415570909488544</c:v>
                </c:pt>
                <c:pt idx="49">
                  <c:v>0.0203947378824458</c:v>
                </c:pt>
                <c:pt idx="50">
                  <c:v>3.8997686524021E-017</c:v>
                </c:pt>
                <c:pt idx="51">
                  <c:v>3.8997686524021E-017</c:v>
                </c:pt>
                <c:pt idx="52">
                  <c:v>3.8997686524021E-017</c:v>
                </c:pt>
                <c:pt idx="53">
                  <c:v>3.8997686524021E-017</c:v>
                </c:pt>
                <c:pt idx="54">
                  <c:v>3.8997686524021E-017</c:v>
                </c:pt>
                <c:pt idx="55">
                  <c:v>3.8997686524021E-017</c:v>
                </c:pt>
                <c:pt idx="56">
                  <c:v>3.8997686524021E-017</c:v>
                </c:pt>
                <c:pt idx="57">
                  <c:v>3.8997686524021E-017</c:v>
                </c:pt>
                <c:pt idx="58">
                  <c:v>3.8997686524021E-017</c:v>
                </c:pt>
                <c:pt idx="59">
                  <c:v>3.8997686524021E-017</c:v>
                </c:pt>
                <c:pt idx="60">
                  <c:v>3.8997686524021E-017</c:v>
                </c:pt>
                <c:pt idx="61">
                  <c:v>3.8997686524021E-017</c:v>
                </c:pt>
                <c:pt idx="62">
                  <c:v>3.8997686524021E-017</c:v>
                </c:pt>
                <c:pt idx="63">
                  <c:v>3.8997686524021E-017</c:v>
                </c:pt>
                <c:pt idx="64">
                  <c:v>3.8997686524021E-017</c:v>
                </c:pt>
                <c:pt idx="65">
                  <c:v>3.8997686524021E-017</c:v>
                </c:pt>
                <c:pt idx="66">
                  <c:v>3.8997686524021E-017</c:v>
                </c:pt>
                <c:pt idx="67">
                  <c:v>3.8997686524021E-017</c:v>
                </c:pt>
                <c:pt idx="68">
                  <c:v>3.8997686524021E-017</c:v>
                </c:pt>
                <c:pt idx="69">
                  <c:v>3.8997686524021E-017</c:v>
                </c:pt>
                <c:pt idx="70">
                  <c:v>3.8997686524021E-017</c:v>
                </c:pt>
                <c:pt idx="71">
                  <c:v>3.8997686524021E-017</c:v>
                </c:pt>
                <c:pt idx="72">
                  <c:v>3.8997686524021E-017</c:v>
                </c:pt>
                <c:pt idx="73">
                  <c:v>3.8997686524021E-017</c:v>
                </c:pt>
                <c:pt idx="74">
                  <c:v>3.8997686524021E-017</c:v>
                </c:pt>
                <c:pt idx="75">
                  <c:v>3.8997686524021E-017</c:v>
                </c:pt>
                <c:pt idx="76">
                  <c:v>3.8997686524021E-017</c:v>
                </c:pt>
                <c:pt idx="77">
                  <c:v>3.8997686524021E-017</c:v>
                </c:pt>
                <c:pt idx="78">
                  <c:v>3.8997686524021E-017</c:v>
                </c:pt>
                <c:pt idx="79">
                  <c:v>3.8997686524021E-017</c:v>
                </c:pt>
                <c:pt idx="80">
                  <c:v>3.8997686524021E-017</c:v>
                </c:pt>
                <c:pt idx="81">
                  <c:v>3.8997686524021E-017</c:v>
                </c:pt>
                <c:pt idx="82">
                  <c:v>3.8997686524021E-017</c:v>
                </c:pt>
                <c:pt idx="83">
                  <c:v>3.8997686524021E-017</c:v>
                </c:pt>
                <c:pt idx="84">
                  <c:v>3.8997686524021E-017</c:v>
                </c:pt>
                <c:pt idx="85">
                  <c:v>3.8997686524021E-017</c:v>
                </c:pt>
                <c:pt idx="86">
                  <c:v>3.8997686524021E-017</c:v>
                </c:pt>
                <c:pt idx="87">
                  <c:v>3.8997686524021E-017</c:v>
                </c:pt>
                <c:pt idx="88">
                  <c:v>3.8997686524021E-017</c:v>
                </c:pt>
                <c:pt idx="89">
                  <c:v>3.8997686524021E-017</c:v>
                </c:pt>
                <c:pt idx="90">
                  <c:v>3.8997686524021E-017</c:v>
                </c:pt>
                <c:pt idx="91">
                  <c:v>3.8997686524021E-017</c:v>
                </c:pt>
                <c:pt idx="92">
                  <c:v>3.8997686524021E-017</c:v>
                </c:pt>
                <c:pt idx="93">
                  <c:v>3.8997686524021E-017</c:v>
                </c:pt>
                <c:pt idx="94">
                  <c:v>3.8997686524021E-017</c:v>
                </c:pt>
                <c:pt idx="95">
                  <c:v>3.8997686524021E-017</c:v>
                </c:pt>
                <c:pt idx="96">
                  <c:v>3.8997686524021E-017</c:v>
                </c:pt>
                <c:pt idx="97">
                  <c:v>3.8997686524021E-017</c:v>
                </c:pt>
                <c:pt idx="98">
                  <c:v>3.8997686524021E-017</c:v>
                </c:pt>
                <c:pt idx="99">
                  <c:v>3.8997686524021E-017</c:v>
                </c:pt>
                <c:pt idx="100">
                  <c:v>3.8997686524021E-017</c:v>
                </c:pt>
              </c:numCache>
            </c:numRef>
          </c:yVal>
        </c:ser>
        <c:ser>
          <c:idx val="2"/>
          <c:order val="2"/>
          <c:spPr>
            <a:solidFill>
              <a:srgbClr val="98b855"/>
            </a:solidFill>
            <a:ln w="38160">
              <a:solidFill>
                <a:srgbClr val="98b855"/>
              </a:solidFill>
              <a:round/>
            </a:ln>
          </c:spPr>
          <c:marker/>
          <c:smooth val="1"/>
          <c:xVal>
            <c:numRef>
              <c:f>MTFcalculations!$A$3:$A$103</c:f>
              <c:numCache>
                <c:formatCode>General</c:formatCode>
                <c:ptCount val="101"/>
                <c:pt idx="0">
                  <c:v>4.36332312998582E-005</c:v>
                </c:pt>
                <c:pt idx="1">
                  <c:v>0.436332312998582</c:v>
                </c:pt>
                <c:pt idx="2">
                  <c:v>0.872664625997165</c:v>
                </c:pt>
                <c:pt idx="3">
                  <c:v>1.30899693899575</c:v>
                </c:pt>
                <c:pt idx="4">
                  <c:v>1.74532925199433</c:v>
                </c:pt>
                <c:pt idx="5">
                  <c:v>2.18166156499291</c:v>
                </c:pt>
                <c:pt idx="6">
                  <c:v>2.61799387799149</c:v>
                </c:pt>
                <c:pt idx="7">
                  <c:v>3.05432619099008</c:v>
                </c:pt>
                <c:pt idx="8">
                  <c:v>3.49065850398866</c:v>
                </c:pt>
                <c:pt idx="9">
                  <c:v>3.92699081698724</c:v>
                </c:pt>
                <c:pt idx="10">
                  <c:v>4.36332312998582</c:v>
                </c:pt>
                <c:pt idx="11">
                  <c:v>4.79965544298441</c:v>
                </c:pt>
                <c:pt idx="12">
                  <c:v>5.23598775598299</c:v>
                </c:pt>
                <c:pt idx="13">
                  <c:v>5.67232006898157</c:v>
                </c:pt>
                <c:pt idx="14">
                  <c:v>6.10865238198015</c:v>
                </c:pt>
                <c:pt idx="15">
                  <c:v>6.54498469497874</c:v>
                </c:pt>
                <c:pt idx="16">
                  <c:v>6.98131700797732</c:v>
                </c:pt>
                <c:pt idx="17">
                  <c:v>7.4176493209759</c:v>
                </c:pt>
                <c:pt idx="18">
                  <c:v>7.85398163397448</c:v>
                </c:pt>
                <c:pt idx="19">
                  <c:v>8.29031394697307</c:v>
                </c:pt>
                <c:pt idx="20">
                  <c:v>8.72664625997165</c:v>
                </c:pt>
                <c:pt idx="21">
                  <c:v>9.16297857297023</c:v>
                </c:pt>
                <c:pt idx="22">
                  <c:v>9.59931088596881</c:v>
                </c:pt>
                <c:pt idx="23">
                  <c:v>10.0356431989674</c:v>
                </c:pt>
                <c:pt idx="24">
                  <c:v>10.471975511966</c:v>
                </c:pt>
                <c:pt idx="25">
                  <c:v>10.9083078249646</c:v>
                </c:pt>
                <c:pt idx="26">
                  <c:v>11.3446401379631</c:v>
                </c:pt>
                <c:pt idx="27">
                  <c:v>11.7809724509617</c:v>
                </c:pt>
                <c:pt idx="28">
                  <c:v>12.2173047639603</c:v>
                </c:pt>
                <c:pt idx="29">
                  <c:v>12.6536370769589</c:v>
                </c:pt>
                <c:pt idx="30">
                  <c:v>13.0899693899575</c:v>
                </c:pt>
                <c:pt idx="31">
                  <c:v>13.5263017029561</c:v>
                </c:pt>
                <c:pt idx="32">
                  <c:v>13.9626340159546</c:v>
                </c:pt>
                <c:pt idx="33">
                  <c:v>14.3989663289532</c:v>
                </c:pt>
                <c:pt idx="34">
                  <c:v>14.8352986419518</c:v>
                </c:pt>
                <c:pt idx="35">
                  <c:v>15.2716309549504</c:v>
                </c:pt>
                <c:pt idx="36">
                  <c:v>15.707963267949</c:v>
                </c:pt>
                <c:pt idx="37">
                  <c:v>16.1442955809476</c:v>
                </c:pt>
                <c:pt idx="38">
                  <c:v>16.5806278939461</c:v>
                </c:pt>
                <c:pt idx="39">
                  <c:v>17.0169602069447</c:v>
                </c:pt>
                <c:pt idx="40">
                  <c:v>17.4532925199433</c:v>
                </c:pt>
                <c:pt idx="41">
                  <c:v>17.8896248329419</c:v>
                </c:pt>
                <c:pt idx="42">
                  <c:v>18.3259571459405</c:v>
                </c:pt>
                <c:pt idx="43">
                  <c:v>18.762289458939</c:v>
                </c:pt>
                <c:pt idx="44">
                  <c:v>19.1986217719376</c:v>
                </c:pt>
                <c:pt idx="45">
                  <c:v>19.6349540849362</c:v>
                </c:pt>
                <c:pt idx="46">
                  <c:v>20.0712863979348</c:v>
                </c:pt>
                <c:pt idx="47">
                  <c:v>20.5076187109334</c:v>
                </c:pt>
                <c:pt idx="48">
                  <c:v>20.943951023932</c:v>
                </c:pt>
                <c:pt idx="49">
                  <c:v>21.3802833369305</c:v>
                </c:pt>
                <c:pt idx="50">
                  <c:v>21.8166156499291</c:v>
                </c:pt>
                <c:pt idx="51">
                  <c:v>22.2529479629277</c:v>
                </c:pt>
                <c:pt idx="52">
                  <c:v>22.6892802759263</c:v>
                </c:pt>
                <c:pt idx="53">
                  <c:v>23.1256125889249</c:v>
                </c:pt>
                <c:pt idx="54">
                  <c:v>23.5619449019234</c:v>
                </c:pt>
                <c:pt idx="55">
                  <c:v>23.998277214922</c:v>
                </c:pt>
                <c:pt idx="56">
                  <c:v>24.4346095279206</c:v>
                </c:pt>
                <c:pt idx="57">
                  <c:v>24.8709418409192</c:v>
                </c:pt>
                <c:pt idx="58">
                  <c:v>25.3072741539178</c:v>
                </c:pt>
                <c:pt idx="59">
                  <c:v>25.7436064669164</c:v>
                </c:pt>
                <c:pt idx="60">
                  <c:v>26.1799387799149</c:v>
                </c:pt>
                <c:pt idx="61">
                  <c:v>26.6162710929135</c:v>
                </c:pt>
                <c:pt idx="62">
                  <c:v>27.0526034059121</c:v>
                </c:pt>
                <c:pt idx="63">
                  <c:v>27.4889357189107</c:v>
                </c:pt>
                <c:pt idx="64">
                  <c:v>27.9252680319093</c:v>
                </c:pt>
                <c:pt idx="65">
                  <c:v>28.3616003449079</c:v>
                </c:pt>
                <c:pt idx="66">
                  <c:v>28.7979326579064</c:v>
                </c:pt>
                <c:pt idx="67">
                  <c:v>29.234264970905</c:v>
                </c:pt>
                <c:pt idx="68">
                  <c:v>29.6705972839036</c:v>
                </c:pt>
                <c:pt idx="69">
                  <c:v>30.1069295969022</c:v>
                </c:pt>
                <c:pt idx="70">
                  <c:v>30.5432619099008</c:v>
                </c:pt>
                <c:pt idx="71">
                  <c:v>30.9795942228993</c:v>
                </c:pt>
                <c:pt idx="72">
                  <c:v>31.4159265358979</c:v>
                </c:pt>
                <c:pt idx="73">
                  <c:v>31.8522588488965</c:v>
                </c:pt>
                <c:pt idx="74">
                  <c:v>32.2885911618951</c:v>
                </c:pt>
                <c:pt idx="75">
                  <c:v>32.7249234748937</c:v>
                </c:pt>
                <c:pt idx="76">
                  <c:v>33.1612557878923</c:v>
                </c:pt>
                <c:pt idx="77">
                  <c:v>33.5975881008908</c:v>
                </c:pt>
                <c:pt idx="78">
                  <c:v>34.0339204138894</c:v>
                </c:pt>
                <c:pt idx="79">
                  <c:v>34.470252726888</c:v>
                </c:pt>
                <c:pt idx="80">
                  <c:v>34.9065850398866</c:v>
                </c:pt>
                <c:pt idx="81">
                  <c:v>35.3429173528852</c:v>
                </c:pt>
                <c:pt idx="82">
                  <c:v>35.7792496658838</c:v>
                </c:pt>
                <c:pt idx="83">
                  <c:v>36.2155819788823</c:v>
                </c:pt>
                <c:pt idx="84">
                  <c:v>36.6519142918809</c:v>
                </c:pt>
                <c:pt idx="85">
                  <c:v>37.0882466048795</c:v>
                </c:pt>
                <c:pt idx="86">
                  <c:v>37.5245789178781</c:v>
                </c:pt>
                <c:pt idx="87">
                  <c:v>37.9609112308767</c:v>
                </c:pt>
                <c:pt idx="88">
                  <c:v>38.3972435438752</c:v>
                </c:pt>
                <c:pt idx="89">
                  <c:v>38.8335758568738</c:v>
                </c:pt>
                <c:pt idx="90">
                  <c:v>39.2699081698724</c:v>
                </c:pt>
                <c:pt idx="91">
                  <c:v>39.706240482871</c:v>
                </c:pt>
                <c:pt idx="92">
                  <c:v>40.1425727958696</c:v>
                </c:pt>
                <c:pt idx="93">
                  <c:v>40.5789051088682</c:v>
                </c:pt>
                <c:pt idx="94">
                  <c:v>41.0152374218667</c:v>
                </c:pt>
                <c:pt idx="95">
                  <c:v>41.4515697348653</c:v>
                </c:pt>
                <c:pt idx="96">
                  <c:v>41.8879020478639</c:v>
                </c:pt>
                <c:pt idx="97">
                  <c:v>42.3242343608625</c:v>
                </c:pt>
                <c:pt idx="98">
                  <c:v>42.7605666738611</c:v>
                </c:pt>
                <c:pt idx="99">
                  <c:v>43.1968989868597</c:v>
                </c:pt>
                <c:pt idx="100">
                  <c:v>43.6332312998582</c:v>
                </c:pt>
              </c:numCache>
            </c:numRef>
          </c:xVal>
          <c:yVal>
            <c:numRef>
              <c:f>MTFcalculations!$G$3:$G$103</c:f>
              <c:numCache>
                <c:formatCode>General</c:formatCode>
                <c:ptCount val="101"/>
                <c:pt idx="0">
                  <c:v>0.999998638263727</c:v>
                </c:pt>
                <c:pt idx="1">
                  <c:v>0.985734076794327</c:v>
                </c:pt>
                <c:pt idx="2">
                  <c:v>0.970209282378844</c:v>
                </c:pt>
                <c:pt idx="3">
                  <c:v>0.953485312435577</c:v>
                </c:pt>
                <c:pt idx="4">
                  <c:v>0.935624497985848</c:v>
                </c:pt>
                <c:pt idx="5">
                  <c:v>0.916691554608846</c:v>
                </c:pt>
                <c:pt idx="6">
                  <c:v>0.896753325957512</c:v>
                </c:pt>
                <c:pt idx="7">
                  <c:v>0.875878522632065</c:v>
                </c:pt>
                <c:pt idx="8">
                  <c:v>0.85413745748083</c:v>
                </c:pt>
                <c:pt idx="9">
                  <c:v>0.831601778402879</c:v>
                </c:pt>
                <c:pt idx="10">
                  <c:v>0.808344199727403</c:v>
                </c:pt>
                <c:pt idx="11">
                  <c:v>0.784438233240623</c:v>
                </c:pt>
                <c:pt idx="12">
                  <c:v>0.759957919922619</c:v>
                </c:pt>
                <c:pt idx="13">
                  <c:v>0.734977563443614</c:v>
                </c:pt>
                <c:pt idx="14">
                  <c:v>0.709571466452204</c:v>
                </c:pt>
                <c:pt idx="15">
                  <c:v>0.683813670666769</c:v>
                </c:pt>
                <c:pt idx="16">
                  <c:v>0.657777701756049</c:v>
                </c:pt>
                <c:pt idx="17">
                  <c:v>0.631536319965672</c:v>
                </c:pt>
                <c:pt idx="18">
                  <c:v>0.605161277414476</c:v>
                </c:pt>
                <c:pt idx="19">
                  <c:v>0.578723082947922</c:v>
                </c:pt>
                <c:pt idx="20">
                  <c:v>0.552290775395927</c:v>
                </c:pt>
                <c:pt idx="21">
                  <c:v>0.525931706039259</c:v>
                </c:pt>
                <c:pt idx="22">
                  <c:v>0.499711331042401</c:v>
                </c:pt>
                <c:pt idx="23">
                  <c:v>0.473693014561793</c:v>
                </c:pt>
                <c:pt idx="24">
                  <c:v>0.447937843186723</c:v>
                </c:pt>
                <c:pt idx="25">
                  <c:v>0.422504452316222</c:v>
                </c:pt>
                <c:pt idx="26">
                  <c:v>0.397448865019256</c:v>
                </c:pt>
                <c:pt idx="27">
                  <c:v>0.372824343867617</c:v>
                </c:pt>
                <c:pt idx="28">
                  <c:v>0.348681256171462</c:v>
                </c:pt>
                <c:pt idx="29">
                  <c:v>0.325066952986643</c:v>
                </c:pt>
                <c:pt idx="30">
                  <c:v>0.302025662201145</c:v>
                </c:pt>
                <c:pt idx="31">
                  <c:v>0.279598395945341</c:v>
                </c:pt>
                <c:pt idx="32">
                  <c:v>0.257822872507634</c:v>
                </c:pt>
                <c:pt idx="33">
                  <c:v>0.236733452873768</c:v>
                </c:pt>
                <c:pt idx="34">
                  <c:v>0.216361091944746</c:v>
                </c:pt>
                <c:pt idx="35">
                  <c:v>0.196733304425371</c:v>
                </c:pt>
                <c:pt idx="36">
                  <c:v>0.177874145313025</c:v>
                </c:pt>
                <c:pt idx="37">
                  <c:v>0.159804204854802</c:v>
                </c:pt>
                <c:pt idx="38">
                  <c:v>0.142540617780713</c:v>
                </c:pt>
                <c:pt idx="39">
                  <c:v>0.126097086561644</c:v>
                </c:pt>
                <c:pt idx="40">
                  <c:v>0.110483918383385</c:v>
                </c:pt>
                <c:pt idx="41">
                  <c:v>0.0957080754724719</c:v>
                </c:pt>
                <c:pt idx="42">
                  <c:v>0.081773238356151</c:v>
                </c:pt>
                <c:pt idx="43">
                  <c:v>0.0686798815876573</c:v>
                </c:pt>
                <c:pt idx="44">
                  <c:v>0.0564253614193458</c:v>
                </c:pt>
                <c:pt idx="45">
                  <c:v>0.0450040148603338</c:v>
                </c:pt>
                <c:pt idx="46">
                  <c:v>0.0344072695123017</c:v>
                </c:pt>
                <c:pt idx="47">
                  <c:v>0.0246237635371584</c:v>
                </c:pt>
                <c:pt idx="48">
                  <c:v>0.0156394750735687</c:v>
                </c:pt>
                <c:pt idx="49">
                  <c:v>0.00743786038598852</c:v>
                </c:pt>
                <c:pt idx="50">
                  <c:v>1.37717467786805E-017</c:v>
                </c:pt>
                <c:pt idx="51">
                  <c:v>1.33248238677843E-017</c:v>
                </c:pt>
                <c:pt idx="52">
                  <c:v>1.28815972523385E-017</c:v>
                </c:pt>
                <c:pt idx="53">
                  <c:v>1.24421714224786E-017</c:v>
                </c:pt>
                <c:pt idx="54">
                  <c:v>1.20066536042935E-017</c:v>
                </c:pt>
                <c:pt idx="55">
                  <c:v>1.15751539375657E-017</c:v>
                </c:pt>
                <c:pt idx="56">
                  <c:v>1.1147785669057E-017</c:v>
                </c:pt>
                <c:pt idx="57">
                  <c:v>1.07246653631863E-017</c:v>
                </c:pt>
                <c:pt idx="58">
                  <c:v>1.03059131322172E-017</c:v>
                </c:pt>
                <c:pt idx="59">
                  <c:v>9.89165288839891E-018</c:v>
                </c:pt>
                <c:pt idx="60">
                  <c:v>9.48201262088813E-018</c:v>
                </c:pt>
                <c:pt idx="61">
                  <c:v>9.07712470073843E-018</c:v>
                </c:pt>
                <c:pt idx="62">
                  <c:v>8.67712621779099E-018</c:v>
                </c:pt>
                <c:pt idx="63">
                  <c:v>8.28215935396401E-018</c:v>
                </c:pt>
                <c:pt idx="64">
                  <c:v>7.89237179823686E-018</c:v>
                </c:pt>
                <c:pt idx="65">
                  <c:v>7.50791720960134E-018</c:v>
                </c:pt>
                <c:pt idx="66">
                  <c:v>7.12895573544688E-018</c:v>
                </c:pt>
                <c:pt idx="67">
                  <c:v>6.75565459432157E-018</c:v>
                </c:pt>
                <c:pt idx="68">
                  <c:v>6.38818873384289E-018</c:v>
                </c:pt>
                <c:pt idx="69">
                  <c:v>6.02674157682662E-018</c:v>
                </c:pt>
                <c:pt idx="70">
                  <c:v>5.67150587159812E-018</c:v>
                </c:pt>
                <c:pt idx="71">
                  <c:v>5.32268466613864E-018</c:v>
                </c:pt>
                <c:pt idx="72">
                  <c:v>4.9804924304603E-018</c:v>
                </c:pt>
                <c:pt idx="73">
                  <c:v>4.6451563577615E-018</c:v>
                </c:pt>
                <c:pt idx="74">
                  <c:v>4.31691788300153E-018</c:v>
                </c:pt>
                <c:pt idx="75">
                  <c:v>3.99603446828382E-018</c:v>
                </c:pt>
                <c:pt idx="76">
                  <c:v>3.68278171891804E-018</c:v>
                </c:pt>
                <c:pt idx="77">
                  <c:v>3.37745591382334E-018</c:v>
                </c:pt>
                <c:pt idx="78">
                  <c:v>3.08037706142403E-018</c:v>
                </c:pt>
                <c:pt idx="79">
                  <c:v>2.79189263105374E-018</c:v>
                </c:pt>
                <c:pt idx="80">
                  <c:v>2.51238216593754E-018</c:v>
                </c:pt>
                <c:pt idx="81">
                  <c:v>2.24226306649154E-018</c:v>
                </c:pt>
                <c:pt idx="82">
                  <c:v>1.98199795773247E-018</c:v>
                </c:pt>
                <c:pt idx="83">
                  <c:v>1.7321042493031E-018</c:v>
                </c:pt>
                <c:pt idx="84">
                  <c:v>1.49316681009068E-018</c:v>
                </c:pt>
                <c:pt idx="85">
                  <c:v>1.26585520413954E-018</c:v>
                </c:pt>
                <c:pt idx="86">
                  <c:v>1.05094785443991E-018</c:v>
                </c:pt>
                <c:pt idx="87">
                  <c:v>8.49367206204027E-019</c:v>
                </c:pt>
                <c:pt idx="88">
                  <c:v>6.62233346330035E-019</c:v>
                </c:pt>
                <c:pt idx="89">
                  <c:v>4.90950868599101E-019</c:v>
                </c:pt>
                <c:pt idx="90">
                  <c:v>3.37361596305054E-019</c:v>
                </c:pt>
                <c:pt idx="91">
                  <c:v>2.04046661241064E-019</c:v>
                </c:pt>
                <c:pt idx="92">
                  <c:v>9.50477907233652E-020</c:v>
                </c:pt>
                <c:pt idx="93">
                  <c:v>1.83813533587944E-020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/>
          <c:smooth val="1"/>
          <c:xVal>
            <c:numRef>
              <c:f>'FPA Calc'!$Q$36:$Q$37</c:f>
              <c:numCache>
                <c:formatCode>General</c:formatCode>
                <c:ptCount val="2"/>
                <c:pt idx="0">
                  <c:v>10.9083078249646</c:v>
                </c:pt>
                <c:pt idx="1">
                  <c:v>10.9083078249646</c:v>
                </c:pt>
              </c:numCache>
            </c:numRef>
          </c:xVal>
        </c:ser>
        <c:axId val="658"/>
        <c:axId val="19389"/>
      </c:scatterChart>
      <c:valAx>
        <c:axId val="658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Angular Frequency (cycles/degree)</a:t>
                </a:r>
              </a:p>
            </c:rich>
          </c:tx>
        </c:title>
        <c:axPos val="b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minorGridlines>
          <c:spPr>
            <a:ln w="12600">
              <a:solidFill>
                <a:srgbClr val="878787"/>
              </a:solidFill>
              <a:round/>
            </a:ln>
          </c:spPr>
        </c:minorGridlines>
        <c:majorTickMark val="none"/>
        <c:minorTickMark val="none"/>
        <c:tickLblPos val="nextTo"/>
        <c:crossAx val="19389"/>
        <c:crossesAt val="0"/>
        <c:spPr>
          <a:ln w="12600">
            <a:solidFill>
              <a:srgbClr val="878787"/>
            </a:solidFill>
            <a:round/>
          </a:ln>
        </c:spPr>
      </c:valAx>
      <c:valAx>
        <c:axId val="19389"/>
        <c:scaling>
          <c:orientation val="minMax"/>
          <c:max val="1"/>
          <c:min val="0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MTF at Object</a:t>
                </a:r>
              </a:p>
            </c:rich>
          </c:tx>
        </c:title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minorGridlines>
          <c:spPr>
            <a:ln w="12600">
              <a:solidFill>
                <a:srgbClr val="878787"/>
              </a:solidFill>
              <a:round/>
            </a:ln>
          </c:spPr>
        </c:minorGridlines>
        <c:majorTickMark val="none"/>
        <c:minorTickMark val="none"/>
        <c:tickLblPos val="nextTo"/>
        <c:crossAx val="658"/>
        <c:crossesAt val="0"/>
        <c:majorUnit val="0.1"/>
        <c:minorUnit val="0.05"/>
        <c:spPr>
          <a:ln w="12600">
            <a:solidFill>
              <a:srgbClr val="878787"/>
            </a:solidFill>
            <a:round/>
          </a:ln>
        </c:spPr>
      </c:valAx>
      <c:spPr>
        <a:solidFill>
          <a:srgbClr val="ffffff"/>
        </a:solidFill>
      </c:spPr>
    </c:plotArea>
    <c:legend>
      <c:legendPos val="r"/>
      <c:spPr/>
    </c:legend>
    <c:plotVisOnly val="1"/>
  </c:chart>
  <c:spPr/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  <a:ea typeface="Calibri"/>
              </a:rPr>
              <a:t>Intensity vs Distance from Center of FPA
(cosine-to-the-fourth effects only)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solidFill>
              <a:srgbClr val="4a7ebb"/>
            </a:solidFill>
            <a:ln w="38160">
              <a:solidFill>
                <a:srgbClr val="4a7ebb"/>
              </a:solidFill>
              <a:round/>
            </a:ln>
          </c:spPr>
          <c:marker/>
          <c:smooth val="1"/>
          <c:xVal>
            <c:numRef>
              <c:f>'FPA Calc'!$C$68:$C$88</c:f>
              <c:numCache>
                <c:formatCode>General</c:formatCode>
                <c:ptCount val="21"/>
                <c:pt idx="0">
                  <c:v>0</c:v>
                </c:pt>
                <c:pt idx="1">
                  <c:v>0.409799951195702</c:v>
                </c:pt>
                <c:pt idx="2">
                  <c:v>0.819599902391405</c:v>
                </c:pt>
                <c:pt idx="3">
                  <c:v>1.22939985358711</c:v>
                </c:pt>
                <c:pt idx="4">
                  <c:v>1.63919980478281</c:v>
                </c:pt>
                <c:pt idx="5">
                  <c:v>2.04899975597851</c:v>
                </c:pt>
                <c:pt idx="6">
                  <c:v>2.45879970717421</c:v>
                </c:pt>
                <c:pt idx="7">
                  <c:v>2.86859965836992</c:v>
                </c:pt>
                <c:pt idx="8">
                  <c:v>3.27839960956562</c:v>
                </c:pt>
                <c:pt idx="9">
                  <c:v>3.68819956076132</c:v>
                </c:pt>
                <c:pt idx="10">
                  <c:v>4.09799951195702</c:v>
                </c:pt>
                <c:pt idx="11">
                  <c:v>4.50779946315273</c:v>
                </c:pt>
                <c:pt idx="12">
                  <c:v>4.91759941434843</c:v>
                </c:pt>
                <c:pt idx="13">
                  <c:v>5.32739936554413</c:v>
                </c:pt>
                <c:pt idx="14">
                  <c:v>5.73719931673983</c:v>
                </c:pt>
                <c:pt idx="15">
                  <c:v>6.14699926793553</c:v>
                </c:pt>
                <c:pt idx="16">
                  <c:v>6.55679921913124</c:v>
                </c:pt>
                <c:pt idx="17">
                  <c:v>6.96659917032694</c:v>
                </c:pt>
                <c:pt idx="18">
                  <c:v>7.37639912152264</c:v>
                </c:pt>
                <c:pt idx="19">
                  <c:v>7.78619907271834</c:v>
                </c:pt>
                <c:pt idx="20">
                  <c:v>8.19599902391405</c:v>
                </c:pt>
              </c:numCache>
            </c:numRef>
          </c:xVal>
          <c:yVal>
            <c:numRef>
              <c:f>'FPA Calc'!$D$68:$D$88</c:f>
              <c:numCache>
                <c:formatCode>General</c:formatCode>
                <c:ptCount val="21"/>
                <c:pt idx="0">
                  <c:v>1</c:v>
                </c:pt>
                <c:pt idx="1">
                  <c:v>0.999479600558601</c:v>
                </c:pt>
                <c:pt idx="2">
                  <c:v>0.997920837251251</c:v>
                </c:pt>
                <c:pt idx="3">
                  <c:v>0.995330989846258</c:v>
                </c:pt>
                <c:pt idx="4">
                  <c:v>0.991722107475196</c:v>
                </c:pt>
                <c:pt idx="5">
                  <c:v>0.987110884501293</c:v>
                </c:pt>
                <c:pt idx="6">
                  <c:v>0.981518489873286</c:v>
                </c:pt>
                <c:pt idx="7">
                  <c:v>0.974970352998346</c:v>
                </c:pt>
                <c:pt idx="8">
                  <c:v>0.967495909889872</c:v>
                </c:pt>
                <c:pt idx="9">
                  <c:v>0.959128313967419</c:v>
                </c:pt>
                <c:pt idx="10">
                  <c:v>0.949904116392738</c:v>
                </c:pt>
                <c:pt idx="11">
                  <c:v>0.939862921207788</c:v>
                </c:pt>
                <c:pt idx="12">
                  <c:v>0.929047020792132</c:v>
                </c:pt>
                <c:pt idx="13">
                  <c:v>0.917501017277435</c:v>
                </c:pt>
                <c:pt idx="14">
                  <c:v>0.905271435548824</c:v>
                </c:pt>
                <c:pt idx="15">
                  <c:v>0.892406333333993</c:v>
                </c:pt>
                <c:pt idx="16">
                  <c:v>0.878954913641489</c:v>
                </c:pt>
                <c:pt idx="17">
                  <c:v>0.864967144473004</c:v>
                </c:pt>
                <c:pt idx="18">
                  <c:v>0.850493390315919</c:v>
                </c:pt>
                <c:pt idx="19">
                  <c:v>0.83558405943865</c:v>
                </c:pt>
                <c:pt idx="20">
                  <c:v>0.820289270479699</c:v>
                </c:pt>
              </c:numCache>
            </c:numRef>
          </c:yVal>
        </c:ser>
        <c:axId val="29767"/>
        <c:axId val="19833"/>
      </c:scatterChart>
      <c:valAx>
        <c:axId val="29767"/>
        <c:scaling>
          <c:orientation val="minMax"/>
          <c:max val="20"/>
          <c:min val="0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Distance from Center of FPA (mm)</a:t>
                </a:r>
              </a:p>
            </c:rich>
          </c:tx>
        </c:title>
        <c:axPos val="b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minorGridlines>
          <c:spPr>
            <a:ln w="12600">
              <a:solidFill>
                <a:srgbClr val="878787"/>
              </a:solidFill>
              <a:round/>
            </a:ln>
          </c:spPr>
        </c:minorGridlines>
        <c:majorTickMark val="out"/>
        <c:minorTickMark val="none"/>
        <c:tickLblPos val="nextTo"/>
        <c:crossAx val="19833"/>
        <c:crossesAt val="0"/>
        <c:majorUnit val="2"/>
        <c:minorUnit val="0.5"/>
        <c:spPr>
          <a:ln w="12600">
            <a:solidFill>
              <a:srgbClr val="878787"/>
            </a:solidFill>
            <a:round/>
          </a:ln>
        </c:spPr>
      </c:valAx>
      <c:valAx>
        <c:axId val="19833"/>
        <c:scaling>
          <c:orientation val="minMax"/>
          <c:max val="1"/>
          <c:min val="0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200">
                    <a:solidFill>
                      <a:srgbClr val="000000"/>
                    </a:solidFill>
                    <a:latin typeface="Calibri"/>
                    <a:ea typeface="Calibri"/>
                  </a:rPr>
                  <a:t>Relative Intensity (Center Intensity=1.0)</a:t>
                </a:r>
              </a:p>
            </c:rich>
          </c:tx>
        </c:title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minorGridlines>
          <c:spPr>
            <a:ln w="12600">
              <a:solidFill>
                <a:srgbClr val="878787"/>
              </a:solidFill>
              <a:round/>
            </a:ln>
          </c:spPr>
        </c:minorGridlines>
        <c:majorTickMark val="out"/>
        <c:minorTickMark val="none"/>
        <c:tickLblPos val="nextTo"/>
        <c:crossAx val="29767"/>
        <c:crossesAt val="0"/>
        <c:majorUnit val="0.1"/>
        <c:minorUnit val="0.05"/>
        <c:spPr>
          <a:ln w="12600">
            <a:solidFill>
              <a:srgbClr val="878787"/>
            </a:solidFill>
            <a:round/>
          </a:ln>
        </c:spPr>
      </c:valAx>
      <c:spPr>
        <a:solidFill>
          <a:srgbClr val="ffffff"/>
        </a:solidFill>
      </c:spPr>
    </c:plotArea>
    <c:plotVisOnly val="1"/>
  </c:chart>
  <c:spPr/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74520</xdr:colOff>
      <xdr:row>36</xdr:row>
      <xdr:rowOff>10080</xdr:rowOff>
    </xdr:from>
    <xdr:to>
      <xdr:col>10</xdr:col>
      <xdr:colOff>483840</xdr:colOff>
      <xdr:row>63</xdr:row>
      <xdr:rowOff>152640</xdr:rowOff>
    </xdr:to>
    <xdr:graphicFrame>
      <xdr:nvGraphicFramePr>
        <xdr:cNvPr id="0" name="Chart 1"/>
        <xdr:cNvGraphicFramePr/>
      </xdr:nvGraphicFramePr>
      <xdr:xfrm>
        <a:off x="74520" y="6620400"/>
        <a:ext cx="7564320" cy="451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684360</xdr:colOff>
      <xdr:row>36</xdr:row>
      <xdr:rowOff>10080</xdr:rowOff>
    </xdr:from>
    <xdr:to>
      <xdr:col>21</xdr:col>
      <xdr:colOff>617400</xdr:colOff>
      <xdr:row>63</xdr:row>
      <xdr:rowOff>152640</xdr:rowOff>
    </xdr:to>
    <xdr:graphicFrame>
      <xdr:nvGraphicFramePr>
        <xdr:cNvPr id="1" name="Chart 2"/>
        <xdr:cNvGraphicFramePr/>
      </xdr:nvGraphicFramePr>
      <xdr:xfrm>
        <a:off x="7839360" y="6620400"/>
        <a:ext cx="8097840" cy="451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169920</xdr:colOff>
      <xdr:row>65</xdr:row>
      <xdr:rowOff>76680</xdr:rowOff>
    </xdr:from>
    <xdr:to>
      <xdr:col>16</xdr:col>
      <xdr:colOff>436320</xdr:colOff>
      <xdr:row>98</xdr:row>
      <xdr:rowOff>142920</xdr:rowOff>
    </xdr:to>
    <xdr:graphicFrame>
      <xdr:nvGraphicFramePr>
        <xdr:cNvPr id="2" name="Chart 3"/>
        <xdr:cNvGraphicFramePr/>
      </xdr:nvGraphicFramePr>
      <xdr:xfrm>
        <a:off x="3052800" y="11382840"/>
        <a:ext cx="9124560" cy="5409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55440</xdr:colOff>
      <xdr:row>0</xdr:row>
      <xdr:rowOff>0</xdr:rowOff>
    </xdr:from>
    <xdr:to>
      <xdr:col>1</xdr:col>
      <xdr:colOff>302760</xdr:colOff>
      <xdr:row>3</xdr:row>
      <xdr:rowOff>95040</xdr:rowOff>
    </xdr:to>
    <xdr:pic>
      <xdr:nvPicPr>
        <xdr:cNvPr descr="" id="3" name="Picture 1"/>
        <xdr:cNvPicPr/>
      </xdr:nvPicPr>
      <xdr:blipFill>
        <a:blip r:embed="rId4"/>
        <a:stretch>
          <a:fillRect/>
        </a:stretch>
      </xdr:blipFill>
      <xdr:spPr>
        <a:xfrm>
          <a:off x="55440" y="0"/>
          <a:ext cx="892440" cy="6188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8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6" activeCellId="0" pane="topLeft" sqref="D6"/>
    </sheetView>
  </sheetViews>
  <cols>
    <col collapsed="false" hidden="false" max="3" min="1" style="1" width="9.18823529411765"/>
    <col collapsed="false" hidden="false" max="4" min="4" style="1" width="13.4941176470588"/>
    <col collapsed="false" hidden="false" max="5" min="5" style="1" width="9.18823529411765"/>
    <col collapsed="false" hidden="false" max="6" min="6" style="1" width="9.90196078431373"/>
    <col collapsed="false" hidden="false" max="7" min="7" style="1" width="10.4745098039216"/>
    <col collapsed="false" hidden="false" max="8" min="8" style="1" width="11.478431372549"/>
    <col collapsed="false" hidden="false" max="10" min="9" style="1" width="9.90196078431373"/>
    <col collapsed="false" hidden="false" max="11" min="11" style="1" width="13.3490196078431"/>
    <col collapsed="false" hidden="false" max="12" min="12" style="1" width="11.1960784313726"/>
    <col collapsed="false" hidden="false" max="13" min="13" style="1" width="11.0509803921569"/>
    <col collapsed="false" hidden="false" max="14" min="14" style="1" width="9.18823529411765"/>
    <col collapsed="false" hidden="false" max="15" min="15" style="1" width="11.3411764705882"/>
    <col collapsed="false" hidden="false" max="16" min="16" style="1" width="9.18823529411765"/>
    <col collapsed="false" hidden="false" max="17" min="17" style="1" width="14.2196078431373"/>
    <col collapsed="false" hidden="false" max="1025" min="18" style="1" width="9.18823529411765"/>
  </cols>
  <sheetData>
    <row collapsed="false" customFormat="false" customHeight="true" hidden="false" ht="15.75" outlineLevel="0" r="1">
      <c r="A1" s="2"/>
      <c r="C1" s="3" t="s">
        <v>0</v>
      </c>
    </row>
    <row collapsed="false" customFormat="false" customHeight="true" hidden="false" ht="12.75" outlineLevel="0" r="2">
      <c r="A2" s="2"/>
      <c r="D2" s="2"/>
    </row>
    <row collapsed="false" customFormat="false" customHeight="true" hidden="false" ht="12.75" outlineLevel="0" r="3">
      <c r="A3" s="2"/>
    </row>
    <row collapsed="false" customFormat="false" customHeight="true" hidden="false" ht="12.75" outlineLevel="0" r="4">
      <c r="A4" s="2"/>
    </row>
    <row collapsed="false" customFormat="false" customHeight="true" hidden="false" ht="12.75" outlineLevel="0" r="5">
      <c r="A5" s="2" t="s">
        <v>1</v>
      </c>
    </row>
    <row collapsed="false" customFormat="false" customHeight="true" hidden="false" ht="15" outlineLevel="0" r="6">
      <c r="C6" s="4" t="s">
        <v>2</v>
      </c>
      <c r="D6" s="5" t="s">
        <v>3</v>
      </c>
      <c r="E6" s="1" t="s">
        <v>4</v>
      </c>
    </row>
    <row collapsed="false" customFormat="false" customHeight="true" hidden="false" ht="15" outlineLevel="0" r="7">
      <c r="C7" s="4" t="s">
        <v>5</v>
      </c>
      <c r="D7" s="6" t="n">
        <v>20</v>
      </c>
      <c r="E7" s="1" t="s">
        <v>6</v>
      </c>
      <c r="F7" s="4" t="s">
        <v>7</v>
      </c>
      <c r="G7" s="7" t="n">
        <f aca="false">PixelPitch*NumX/1000</f>
        <v>12.8</v>
      </c>
      <c r="H7" s="1" t="s">
        <v>8</v>
      </c>
      <c r="J7" s="4" t="s">
        <v>9</v>
      </c>
      <c r="K7" s="6" t="n">
        <v>7000000</v>
      </c>
      <c r="L7" s="1" t="s">
        <v>10</v>
      </c>
    </row>
    <row collapsed="false" customFormat="false" customHeight="true" hidden="false" ht="15" outlineLevel="0" r="8">
      <c r="C8" s="4" t="s">
        <v>11</v>
      </c>
      <c r="D8" s="6" t="n">
        <v>640</v>
      </c>
      <c r="E8" s="1" t="s">
        <v>12</v>
      </c>
      <c r="F8" s="4" t="s">
        <v>13</v>
      </c>
      <c r="G8" s="7" t="n">
        <f aca="false">PixelPitch*NumY/1000</f>
        <v>10.24</v>
      </c>
      <c r="H8" s="1" t="s">
        <v>8</v>
      </c>
      <c r="J8" s="4" t="s">
        <v>14</v>
      </c>
      <c r="K8" s="6" t="n">
        <v>15800</v>
      </c>
      <c r="L8" s="1" t="s">
        <v>15</v>
      </c>
    </row>
    <row collapsed="false" customFormat="false" customHeight="true" hidden="false" ht="15" outlineLevel="0" r="9">
      <c r="C9" s="4" t="s">
        <v>16</v>
      </c>
      <c r="D9" s="6" t="n">
        <v>512</v>
      </c>
      <c r="E9" s="1" t="s">
        <v>12</v>
      </c>
      <c r="F9" s="4" t="s">
        <v>17</v>
      </c>
      <c r="G9" s="7" t="n">
        <f aca="false">SQRT(xSize^2+ySize^2)</f>
        <v>16.3919980478281</v>
      </c>
      <c r="H9" s="1" t="s">
        <v>8</v>
      </c>
      <c r="J9" s="4" t="s">
        <v>18</v>
      </c>
      <c r="K9" s="6" t="n">
        <v>400</v>
      </c>
      <c r="L9" s="1" t="s">
        <v>15</v>
      </c>
    </row>
    <row collapsed="false" customFormat="false" customHeight="true" hidden="false" ht="15" outlineLevel="0" r="10">
      <c r="C10" s="4" t="s">
        <v>19</v>
      </c>
      <c r="D10" s="6" t="n">
        <v>4</v>
      </c>
      <c r="F10" s="4" t="s">
        <v>20</v>
      </c>
      <c r="G10" s="8" t="n">
        <f aca="false">D8*D9</f>
        <v>327680</v>
      </c>
      <c r="J10" s="4" t="s">
        <v>21</v>
      </c>
      <c r="K10" s="9" t="n">
        <f aca="false">fullWellElectrons/(fullWellCounts-emptyWellCounts)</f>
        <v>454.545454545455</v>
      </c>
      <c r="L10" s="1" t="s">
        <v>22</v>
      </c>
      <c r="N10" s="4" t="s">
        <v>23</v>
      </c>
      <c r="O10" s="10" t="n">
        <v>6.2415E+018</v>
      </c>
      <c r="P10" s="1" t="s">
        <v>10</v>
      </c>
    </row>
    <row collapsed="false" customFormat="false" customHeight="true" hidden="false" ht="15" outlineLevel="0" r="11">
      <c r="C11" s="4" t="s">
        <v>24</v>
      </c>
      <c r="D11" s="6" t="n">
        <v>40000000</v>
      </c>
      <c r="E11" s="1" t="s">
        <v>25</v>
      </c>
      <c r="J11" s="4" t="s">
        <v>26</v>
      </c>
      <c r="K11" s="6" t="n">
        <v>0.95</v>
      </c>
      <c r="L11" s="1" t="s">
        <v>27</v>
      </c>
    </row>
    <row collapsed="false" customFormat="false" customHeight="true" hidden="false" ht="15" outlineLevel="0" r="12">
      <c r="C12" s="4" t="s">
        <v>28</v>
      </c>
      <c r="D12" s="6" t="n">
        <v>2</v>
      </c>
      <c r="J12" s="4" t="s">
        <v>29</v>
      </c>
      <c r="K12" s="9" t="n">
        <f aca="false">electronsPerCount/QE</f>
        <v>478.468899521531</v>
      </c>
      <c r="L12" s="1" t="s">
        <v>30</v>
      </c>
    </row>
    <row collapsed="false" customFormat="false" customHeight="true" hidden="false" ht="15" outlineLevel="0" r="13">
      <c r="C13" s="4" t="s">
        <v>31</v>
      </c>
      <c r="D13" s="6" t="n">
        <v>2</v>
      </c>
      <c r="J13" s="4" t="s">
        <v>32</v>
      </c>
      <c r="K13" s="11" t="n">
        <v>4E-007</v>
      </c>
      <c r="L13" s="1" t="s">
        <v>33</v>
      </c>
    </row>
    <row collapsed="false" customFormat="false" customHeight="true" hidden="false" ht="15" outlineLevel="0" r="14">
      <c r="C14" s="4" t="s">
        <v>34</v>
      </c>
      <c r="D14" s="6" t="n">
        <v>4</v>
      </c>
      <c r="J14" s="4" t="s">
        <v>35</v>
      </c>
      <c r="K14" s="12" t="n">
        <v>1.7</v>
      </c>
      <c r="L14" s="1" t="s">
        <v>36</v>
      </c>
    </row>
    <row collapsed="false" customFormat="false" customHeight="true" hidden="false" ht="15" outlineLevel="0" r="15">
      <c r="J15" s="4" t="s">
        <v>37</v>
      </c>
      <c r="K15" s="9" t="n">
        <f aca="false">darkCurrent*(integrationTime/1000)*ePerCoulomb*(PixelPitch*0.0001)^2</f>
        <v>16976.88</v>
      </c>
      <c r="L15" s="13" t="s">
        <v>38</v>
      </c>
      <c r="M15" s="14" t="n">
        <f aca="false">darkSignalElectrons/electronsPerCount</f>
        <v>37.349136</v>
      </c>
      <c r="N15" s="1" t="s">
        <v>15</v>
      </c>
    </row>
    <row collapsed="false" customFormat="false" customHeight="true" hidden="false" ht="15" outlineLevel="0" r="16">
      <c r="B16" s="2" t="s">
        <v>39</v>
      </c>
      <c r="J16" s="4" t="s">
        <v>40</v>
      </c>
      <c r="K16" s="9" t="n">
        <f aca="false">SQRT(darkSignalElectrons)</f>
        <v>130.295356786034</v>
      </c>
      <c r="L16" s="1" t="s">
        <v>38</v>
      </c>
      <c r="M16" s="14" t="n">
        <f aca="false">darkNoiseElectrons/electronsPerCount</f>
        <v>0.286649784929276</v>
      </c>
      <c r="N16" s="1" t="s">
        <v>15</v>
      </c>
    </row>
    <row collapsed="false" customFormat="false" customHeight="true" hidden="false" ht="15" outlineLevel="0" r="17">
      <c r="C17" s="4" t="s">
        <v>41</v>
      </c>
      <c r="D17" s="14" t="n">
        <f aca="false">D18/((NumX+D13*NumOutputs)*(NumY+D14))</f>
        <v>478.514690400995</v>
      </c>
      <c r="E17" s="1" t="s">
        <v>42</v>
      </c>
      <c r="J17" s="4" t="s">
        <v>43</v>
      </c>
      <c r="K17" s="15" t="n">
        <v>350</v>
      </c>
      <c r="L17" s="16" t="s">
        <v>38</v>
      </c>
      <c r="M17" s="1" t="n">
        <f aca="false">ROICnoiseElectrons/electronsPerCount</f>
        <v>0.77</v>
      </c>
      <c r="N17" s="16" t="s">
        <v>15</v>
      </c>
    </row>
    <row collapsed="false" customFormat="false" customHeight="true" hidden="false" ht="15" outlineLevel="0" r="18">
      <c r="C18" s="4" t="s">
        <v>44</v>
      </c>
      <c r="D18" s="17" t="n">
        <f aca="false">RatePerOutput*NumOutputs</f>
        <v>160000000</v>
      </c>
      <c r="E18" s="1" t="s">
        <v>45</v>
      </c>
      <c r="J18" s="4" t="s">
        <v>46</v>
      </c>
      <c r="K18" s="15" t="n">
        <v>7000</v>
      </c>
      <c r="L18" s="1" t="s">
        <v>47</v>
      </c>
      <c r="M18" s="8" t="n">
        <f aca="false">photonSignalCounts*electronsPerCount</f>
        <v>3181818.18181818</v>
      </c>
      <c r="N18" s="1" t="s">
        <v>38</v>
      </c>
      <c r="O18" s="8" t="n">
        <f aca="false">photonSignalElectrons/QE</f>
        <v>3349282.29665072</v>
      </c>
      <c r="P18" s="1" t="s">
        <v>48</v>
      </c>
      <c r="Q18" s="18" t="n">
        <f aca="false">photonSignalPhotons/((PixelPitch/10000)^2*(integrationTime/1000))</f>
        <v>492541514213341</v>
      </c>
      <c r="R18" s="1" t="s">
        <v>49</v>
      </c>
    </row>
    <row collapsed="false" customFormat="false" customHeight="true" hidden="false" ht="15" outlineLevel="0" r="19">
      <c r="C19" s="4" t="s">
        <v>50</v>
      </c>
      <c r="D19" s="17" t="n">
        <f aca="false">D17*NumX*NumY</f>
        <v>156799693.750598</v>
      </c>
      <c r="E19" s="1" t="s">
        <v>45</v>
      </c>
      <c r="J19" s="4" t="s">
        <v>51</v>
      </c>
      <c r="K19" s="9" t="n">
        <f aca="false">SQRT(photonSignalPhotons)</f>
        <v>1830.10444965601</v>
      </c>
      <c r="L19" s="1" t="s">
        <v>48</v>
      </c>
      <c r="M19" s="9" t="n">
        <f aca="false">photonNoisePhotons/QE</f>
        <v>1926.42573648001</v>
      </c>
      <c r="N19" s="1" t="s">
        <v>38</v>
      </c>
      <c r="O19" s="7" t="n">
        <f aca="false">photonNoiseElectrons/electronsPerCount</f>
        <v>4.23813662025602</v>
      </c>
      <c r="P19" s="1" t="s">
        <v>15</v>
      </c>
    </row>
    <row collapsed="false" customFormat="false" customHeight="true" hidden="false" ht="15" outlineLevel="0" r="20">
      <c r="C20" s="4" t="s">
        <v>52</v>
      </c>
      <c r="D20" s="17" t="n">
        <f aca="false">D19*BytesPerPixel</f>
        <v>313599387.501196</v>
      </c>
      <c r="E20" s="1" t="s">
        <v>53</v>
      </c>
      <c r="H20" s="19"/>
      <c r="J20" s="4" t="s">
        <v>54</v>
      </c>
      <c r="K20" s="7" t="n">
        <f aca="false">SQRT(photonNoiseElectrons^2+darkNoiseElectrons^2+ROICnoiseElectrons^2)/electronsPerCount</f>
        <v>4.31704414051502</v>
      </c>
      <c r="L20" s="1" t="s">
        <v>15</v>
      </c>
    </row>
    <row collapsed="false" customFormat="false" customHeight="true" hidden="false" ht="12.75" outlineLevel="0" r="22">
      <c r="B22" s="2" t="s">
        <v>55</v>
      </c>
    </row>
    <row collapsed="false" customFormat="false" customHeight="true" hidden="false" ht="15" outlineLevel="0" r="23">
      <c r="C23" s="4" t="s">
        <v>56</v>
      </c>
      <c r="D23" s="6" t="n">
        <v>25</v>
      </c>
      <c r="E23" s="1" t="s">
        <v>8</v>
      </c>
      <c r="G23" s="4" t="s">
        <v>57</v>
      </c>
      <c r="H23" s="6" t="n">
        <v>5</v>
      </c>
      <c r="I23" s="1" t="s">
        <v>58</v>
      </c>
    </row>
    <row collapsed="false" customFormat="false" customHeight="true" hidden="false" ht="15" outlineLevel="0" r="24">
      <c r="F24" s="4" t="s">
        <v>59</v>
      </c>
      <c r="G24" s="9" t="n">
        <f aca="false">hyperfocalDistance*Object_Distance/(hyperfocalDistance+Object_Distance)</f>
        <v>3.65497076023392</v>
      </c>
      <c r="H24" s="1" t="s">
        <v>58</v>
      </c>
      <c r="J24" s="4" t="s">
        <v>60</v>
      </c>
      <c r="K24" s="9" t="n">
        <f aca="false">hyperfocalDistance*Object_Distance/(hyperfocalDistance-Object_Distance)</f>
        <v>7.91139240506329</v>
      </c>
      <c r="L24" s="1" t="s">
        <v>61</v>
      </c>
    </row>
    <row collapsed="false" customFormat="false" customHeight="true" hidden="false" ht="15" outlineLevel="0" r="25">
      <c r="C25" s="4" t="s">
        <v>62</v>
      </c>
      <c r="D25" s="7" t="n">
        <f aca="false">(180/3.1415926)*2*ATAN(xSize/(2*FocalLength))</f>
        <v>28.718673578377</v>
      </c>
      <c r="E25" s="1" t="s">
        <v>63</v>
      </c>
      <c r="G25" s="4" t="s">
        <v>62</v>
      </c>
      <c r="H25" s="7" t="n">
        <f aca="false">xSize*Object_Distance/FocalLength</f>
        <v>2.56</v>
      </c>
      <c r="I25" s="1" t="s">
        <v>58</v>
      </c>
    </row>
    <row collapsed="false" customFormat="false" customHeight="true" hidden="false" ht="15" outlineLevel="0" r="26">
      <c r="C26" s="4" t="s">
        <v>64</v>
      </c>
      <c r="D26" s="7" t="n">
        <f aca="false">(180/3.1415926)*2*ATAN(ySize/(2*FocalLength))</f>
        <v>23.1482579660338</v>
      </c>
      <c r="E26" s="1" t="s">
        <v>63</v>
      </c>
      <c r="G26" s="4" t="s">
        <v>64</v>
      </c>
      <c r="H26" s="7" t="n">
        <f aca="false">ySize*Object_Distance/FocalLength</f>
        <v>2.048</v>
      </c>
      <c r="I26" s="1" t="s">
        <v>58</v>
      </c>
    </row>
    <row collapsed="false" customFormat="false" customHeight="true" hidden="false" ht="15" outlineLevel="0" r="27">
      <c r="C27" s="4" t="s">
        <v>65</v>
      </c>
      <c r="D27" s="7" t="n">
        <f aca="false">(180/3.1415926)*2*ATAN(diagSize/(2*FocalLength))</f>
        <v>36.3024229960303</v>
      </c>
      <c r="E27" s="1" t="s">
        <v>63</v>
      </c>
      <c r="G27" s="4" t="s">
        <v>65</v>
      </c>
      <c r="H27" s="7" t="n">
        <f aca="false">diagSize*Object_Distance/FocalLength</f>
        <v>3.27839960956562</v>
      </c>
      <c r="I27" s="1" t="s">
        <v>58</v>
      </c>
    </row>
    <row collapsed="false" customFormat="false" customHeight="true" hidden="false" ht="15" outlineLevel="0" r="28">
      <c r="C28" s="4" t="s">
        <v>66</v>
      </c>
      <c r="D28" s="20" t="n">
        <f aca="false">(180/3.1415926)*2*ATAN((PixelPitch/1000)*1/(2*FocalLength))</f>
        <v>0.0458366219477346</v>
      </c>
      <c r="E28" s="1" t="s">
        <v>63</v>
      </c>
      <c r="G28" s="4" t="s">
        <v>66</v>
      </c>
      <c r="H28" s="7" t="n">
        <f aca="false">PixelPitch*Object_Distance/FocalLength</f>
        <v>4</v>
      </c>
      <c r="I28" s="1" t="s">
        <v>8</v>
      </c>
    </row>
    <row collapsed="false" customFormat="false" customHeight="true" hidden="false" ht="15" outlineLevel="0" r="29">
      <c r="C29" s="4" t="s">
        <v>67</v>
      </c>
      <c r="D29" s="14" t="n">
        <f aca="false">FocalLength^2/(fNumber * MAX(D36:D37))</f>
        <v>13.5869565217391</v>
      </c>
      <c r="E29" s="1" t="s">
        <v>68</v>
      </c>
    </row>
    <row collapsed="false" customFormat="false" customHeight="true" hidden="false" ht="12.75" outlineLevel="0" r="31">
      <c r="B31" s="2" t="s">
        <v>69</v>
      </c>
    </row>
    <row collapsed="false" customFormat="false" customHeight="true" hidden="false" ht="12.75" outlineLevel="0" r="32">
      <c r="G32" s="21" t="s">
        <v>70</v>
      </c>
    </row>
    <row collapsed="false" customFormat="false" customHeight="true" hidden="false" ht="15" outlineLevel="0" r="33">
      <c r="C33" s="4" t="s">
        <v>71</v>
      </c>
      <c r="D33" s="6" t="n">
        <v>4.65</v>
      </c>
      <c r="E33" s="1" t="s">
        <v>6</v>
      </c>
      <c r="G33" s="4" t="s">
        <v>72</v>
      </c>
      <c r="H33" s="6" t="n">
        <v>25.4</v>
      </c>
      <c r="I33" s="1" t="s">
        <v>8</v>
      </c>
    </row>
    <row collapsed="false" customFormat="false" customHeight="true" hidden="false" ht="15" outlineLevel="0" r="34">
      <c r="C34" s="4" t="s">
        <v>73</v>
      </c>
      <c r="D34" s="6" t="n">
        <v>2.3</v>
      </c>
      <c r="G34" s="4" t="s">
        <v>74</v>
      </c>
      <c r="H34" s="14" t="n">
        <f aca="false">ColdStopLocation/fNumber</f>
        <v>11.0434782608696</v>
      </c>
      <c r="I34" s="1" t="s">
        <v>8</v>
      </c>
    </row>
    <row collapsed="false" customFormat="false" customHeight="true" hidden="false" ht="15" outlineLevel="0" r="35">
      <c r="G35" s="4" t="s">
        <v>75</v>
      </c>
      <c r="H35" s="17" t="n">
        <f aca="false">diagSize+FocalLength/fNumber</f>
        <v>27.2615632652194</v>
      </c>
      <c r="I35" s="1" t="s">
        <v>8</v>
      </c>
    </row>
    <row collapsed="false" customFormat="false" customHeight="true" hidden="false" ht="15" outlineLevel="0" r="36">
      <c r="C36" s="4" t="s">
        <v>76</v>
      </c>
      <c r="D36" s="14" t="n">
        <f aca="false">1.22*D33*D34</f>
        <v>13.0479</v>
      </c>
      <c r="E36" s="1" t="s">
        <v>6</v>
      </c>
      <c r="H36" s="4" t="s">
        <v>77</v>
      </c>
      <c r="I36" s="14" t="n">
        <f aca="false">pixelFOVatObject*AiryDiskRadiusAtFPA/PixelPitch</f>
        <v>2.60958</v>
      </c>
      <c r="J36" s="1" t="s">
        <v>8</v>
      </c>
      <c r="K36" s="22"/>
      <c r="M36" s="4" t="s">
        <v>78</v>
      </c>
      <c r="N36" s="7" t="n">
        <f aca="false">1000/(2*PixelPitch)</f>
        <v>25</v>
      </c>
      <c r="O36" s="1" t="s">
        <v>79</v>
      </c>
      <c r="Q36" s="7" t="n">
        <f aca="false">NyquistFrequency*FocalLength*PI()/180</f>
        <v>10.9083078249646</v>
      </c>
      <c r="R36" s="1" t="s">
        <v>80</v>
      </c>
    </row>
    <row collapsed="false" customFormat="false" customHeight="true" hidden="false" ht="12.75" outlineLevel="0" r="37">
      <c r="D37" s="23" t="n">
        <f aca="false">PixelPitch</f>
        <v>20</v>
      </c>
      <c r="K37" s="22"/>
      <c r="L37" s="22"/>
      <c r="M37" s="4"/>
      <c r="N37" s="24" t="n">
        <f aca="false">NyquistFrequency</f>
        <v>25</v>
      </c>
      <c r="O37" s="22"/>
      <c r="P37" s="22"/>
      <c r="Q37" s="25" t="n">
        <f aca="false">FPA_Nyquist_at_Object</f>
        <v>10.9083078249646</v>
      </c>
      <c r="R37" s="22"/>
    </row>
    <row collapsed="false" customFormat="false" customHeight="true" hidden="false" ht="12.75" outlineLevel="0" r="65">
      <c r="C65" s="26" t="s">
        <v>81</v>
      </c>
    </row>
    <row collapsed="false" customFormat="false" customHeight="true" hidden="false" ht="12.75" outlineLevel="0" r="66">
      <c r="B66" s="26" t="s">
        <v>82</v>
      </c>
      <c r="C66" s="26" t="s">
        <v>83</v>
      </c>
      <c r="D66" s="26" t="s">
        <v>84</v>
      </c>
    </row>
    <row collapsed="false" customFormat="false" customHeight="true" hidden="false" ht="12.75" outlineLevel="0" r="67">
      <c r="B67" s="26" t="s">
        <v>83</v>
      </c>
      <c r="C67" s="26" t="s">
        <v>85</v>
      </c>
      <c r="D67" s="26" t="s">
        <v>86</v>
      </c>
    </row>
    <row collapsed="false" customFormat="false" customHeight="true" hidden="false" ht="12.75" outlineLevel="0" r="68">
      <c r="B68" s="1" t="n">
        <v>0</v>
      </c>
      <c r="C68" s="1" t="n">
        <f aca="false">B68*diagSize/2</f>
        <v>0</v>
      </c>
      <c r="D68" s="1" t="n">
        <f aca="false">(COS(ATAN(C68/ColdStopLocation)))^4</f>
        <v>1</v>
      </c>
    </row>
    <row collapsed="false" customFormat="false" customHeight="true" hidden="false" ht="12.75" outlineLevel="0" r="69">
      <c r="B69" s="1" t="n">
        <v>0.05</v>
      </c>
      <c r="C69" s="1" t="n">
        <f aca="false">B69*diagSize/2</f>
        <v>0.409799951195702</v>
      </c>
      <c r="D69" s="1" t="n">
        <f aca="false">(COS(ATAN(C69/ColdStopLocation)))^4</f>
        <v>0.999479600558601</v>
      </c>
    </row>
    <row collapsed="false" customFormat="false" customHeight="true" hidden="false" ht="12.75" outlineLevel="0" r="70">
      <c r="B70" s="1" t="n">
        <v>0.1</v>
      </c>
      <c r="C70" s="1" t="n">
        <f aca="false">B70*diagSize/2</f>
        <v>0.819599902391405</v>
      </c>
      <c r="D70" s="1" t="n">
        <f aca="false">(COS(ATAN(C70/ColdStopLocation)))^4</f>
        <v>0.997920837251251</v>
      </c>
    </row>
    <row collapsed="false" customFormat="false" customHeight="true" hidden="false" ht="12.75" outlineLevel="0" r="71">
      <c r="B71" s="1" t="n">
        <v>0.15</v>
      </c>
      <c r="C71" s="1" t="n">
        <f aca="false">B71*diagSize/2</f>
        <v>1.22939985358711</v>
      </c>
      <c r="D71" s="1" t="n">
        <f aca="false">(COS(ATAN(C71/ColdStopLocation)))^4</f>
        <v>0.995330989846258</v>
      </c>
    </row>
    <row collapsed="false" customFormat="false" customHeight="true" hidden="false" ht="12.75" outlineLevel="0" r="72">
      <c r="B72" s="1" t="n">
        <v>0.2</v>
      </c>
      <c r="C72" s="1" t="n">
        <f aca="false">B72*diagSize/2</f>
        <v>1.63919980478281</v>
      </c>
      <c r="D72" s="1" t="n">
        <f aca="false">(COS(ATAN(C72/ColdStopLocation)))^4</f>
        <v>0.991722107475196</v>
      </c>
    </row>
    <row collapsed="false" customFormat="false" customHeight="true" hidden="false" ht="12.75" outlineLevel="0" r="73">
      <c r="B73" s="1" t="n">
        <v>0.25</v>
      </c>
      <c r="C73" s="1" t="n">
        <f aca="false">B73*diagSize/2</f>
        <v>2.04899975597851</v>
      </c>
      <c r="D73" s="1" t="n">
        <f aca="false">(COS(ATAN(C73/ColdStopLocation)))^4</f>
        <v>0.987110884501293</v>
      </c>
    </row>
    <row collapsed="false" customFormat="false" customHeight="true" hidden="false" ht="12.75" outlineLevel="0" r="74">
      <c r="B74" s="1" t="n">
        <v>0.3</v>
      </c>
      <c r="C74" s="1" t="n">
        <f aca="false">B74*diagSize/2</f>
        <v>2.45879970717421</v>
      </c>
      <c r="D74" s="1" t="n">
        <f aca="false">(COS(ATAN(C74/ColdStopLocation)))^4</f>
        <v>0.981518489873286</v>
      </c>
    </row>
    <row collapsed="false" customFormat="false" customHeight="true" hidden="false" ht="12.75" outlineLevel="0" r="75">
      <c r="B75" s="1" t="n">
        <v>0.35</v>
      </c>
      <c r="C75" s="1" t="n">
        <f aca="false">B75*diagSize/2</f>
        <v>2.86859965836992</v>
      </c>
      <c r="D75" s="1" t="n">
        <f aca="false">(COS(ATAN(C75/ColdStopLocation)))^4</f>
        <v>0.974970352998346</v>
      </c>
    </row>
    <row collapsed="false" customFormat="false" customHeight="true" hidden="false" ht="12.75" outlineLevel="0" r="76">
      <c r="B76" s="1" t="n">
        <v>0.4</v>
      </c>
      <c r="C76" s="1" t="n">
        <f aca="false">B76*diagSize/2</f>
        <v>3.27839960956562</v>
      </c>
      <c r="D76" s="1" t="n">
        <f aca="false">(COS(ATAN(C76/ColdStopLocation)))^4</f>
        <v>0.967495909889872</v>
      </c>
    </row>
    <row collapsed="false" customFormat="false" customHeight="true" hidden="false" ht="12.75" outlineLevel="0" r="77">
      <c r="B77" s="1" t="n">
        <v>0.45</v>
      </c>
      <c r="C77" s="1" t="n">
        <f aca="false">B77*diagSize/2</f>
        <v>3.68819956076132</v>
      </c>
      <c r="D77" s="1" t="n">
        <f aca="false">(COS(ATAN(C77/ColdStopLocation)))^4</f>
        <v>0.959128313967419</v>
      </c>
    </row>
    <row collapsed="false" customFormat="false" customHeight="true" hidden="false" ht="12.75" outlineLevel="0" r="78">
      <c r="B78" s="1" t="n">
        <v>0.5</v>
      </c>
      <c r="C78" s="1" t="n">
        <f aca="false">B78*diagSize/2</f>
        <v>4.09799951195702</v>
      </c>
      <c r="D78" s="1" t="n">
        <f aca="false">(COS(ATAN(C78/ColdStopLocation)))^4</f>
        <v>0.949904116392738</v>
      </c>
    </row>
    <row collapsed="false" customFormat="false" customHeight="true" hidden="false" ht="12.75" outlineLevel="0" r="79">
      <c r="B79" s="1" t="n">
        <v>0.55</v>
      </c>
      <c r="C79" s="1" t="n">
        <f aca="false">B79*diagSize/2</f>
        <v>4.50779946315273</v>
      </c>
      <c r="D79" s="1" t="n">
        <f aca="false">(COS(ATAN(C79/ColdStopLocation)))^4</f>
        <v>0.939862921207788</v>
      </c>
    </row>
    <row collapsed="false" customFormat="false" customHeight="true" hidden="false" ht="12.75" outlineLevel="0" r="80">
      <c r="B80" s="1" t="n">
        <v>0.6</v>
      </c>
      <c r="C80" s="1" t="n">
        <f aca="false">B80*diagSize/2</f>
        <v>4.91759941434843</v>
      </c>
      <c r="D80" s="1" t="n">
        <f aca="false">(COS(ATAN(C80/ColdStopLocation)))^4</f>
        <v>0.929047020792132</v>
      </c>
    </row>
    <row collapsed="false" customFormat="false" customHeight="true" hidden="false" ht="12.75" outlineLevel="0" r="81">
      <c r="B81" s="1" t="n">
        <v>0.65</v>
      </c>
      <c r="C81" s="1" t="n">
        <f aca="false">B81*diagSize/2</f>
        <v>5.32739936554413</v>
      </c>
      <c r="D81" s="1" t="n">
        <f aca="false">(COS(ATAN(C81/ColdStopLocation)))^4</f>
        <v>0.917501017277435</v>
      </c>
    </row>
    <row collapsed="false" customFormat="false" customHeight="true" hidden="false" ht="12.75" outlineLevel="0" r="82">
      <c r="B82" s="1" t="n">
        <v>0.7</v>
      </c>
      <c r="C82" s="1" t="n">
        <f aca="false">B82*diagSize/2</f>
        <v>5.73719931673983</v>
      </c>
      <c r="D82" s="1" t="n">
        <f aca="false">(COS(ATAN(C82/ColdStopLocation)))^4</f>
        <v>0.905271435548824</v>
      </c>
    </row>
    <row collapsed="false" customFormat="false" customHeight="true" hidden="false" ht="12.75" outlineLevel="0" r="83">
      <c r="B83" s="1" t="n">
        <v>0.75</v>
      </c>
      <c r="C83" s="1" t="n">
        <f aca="false">B83*diagSize/2</f>
        <v>6.14699926793553</v>
      </c>
      <c r="D83" s="1" t="n">
        <f aca="false">(COS(ATAN(C83/ColdStopLocation)))^4</f>
        <v>0.892406333333993</v>
      </c>
    </row>
    <row collapsed="false" customFormat="false" customHeight="true" hidden="false" ht="12.75" outlineLevel="0" r="84">
      <c r="B84" s="1" t="n">
        <v>0.8</v>
      </c>
      <c r="C84" s="1" t="n">
        <f aca="false">B84*diagSize/2</f>
        <v>6.55679921913124</v>
      </c>
      <c r="D84" s="1" t="n">
        <f aca="false">(COS(ATAN(C84/ColdStopLocation)))^4</f>
        <v>0.878954913641489</v>
      </c>
    </row>
    <row collapsed="false" customFormat="false" customHeight="true" hidden="false" ht="12.75" outlineLevel="0" r="85">
      <c r="B85" s="1" t="n">
        <v>0.85</v>
      </c>
      <c r="C85" s="1" t="n">
        <f aca="false">B85*diagSize/2</f>
        <v>6.96659917032694</v>
      </c>
      <c r="D85" s="1" t="n">
        <f aca="false">(COS(ATAN(C85/ColdStopLocation)))^4</f>
        <v>0.864967144473004</v>
      </c>
    </row>
    <row collapsed="false" customFormat="false" customHeight="true" hidden="false" ht="12.75" outlineLevel="0" r="86">
      <c r="B86" s="1" t="n">
        <v>0.9</v>
      </c>
      <c r="C86" s="1" t="n">
        <f aca="false">B86*diagSize/2</f>
        <v>7.37639912152264</v>
      </c>
      <c r="D86" s="1" t="n">
        <f aca="false">(COS(ATAN(C86/ColdStopLocation)))^4</f>
        <v>0.850493390315919</v>
      </c>
    </row>
    <row collapsed="false" customFormat="false" customHeight="true" hidden="false" ht="12.75" outlineLevel="0" r="87">
      <c r="B87" s="1" t="n">
        <v>0.95</v>
      </c>
      <c r="C87" s="1" t="n">
        <f aca="false">B87*diagSize/2</f>
        <v>7.78619907271834</v>
      </c>
      <c r="D87" s="1" t="n">
        <f aca="false">(COS(ATAN(C87/ColdStopLocation)))^4</f>
        <v>0.83558405943865</v>
      </c>
    </row>
    <row collapsed="false" customFormat="false" customHeight="true" hidden="false" ht="12.75" outlineLevel="0" r="88">
      <c r="B88" s="1" t="n">
        <v>1</v>
      </c>
      <c r="C88" s="1" t="n">
        <f aca="false">B88*diagSize/2</f>
        <v>8.19599902391405</v>
      </c>
      <c r="D88" s="1" t="n">
        <f aca="false">(COS(ATAN(C88/ColdStopLocation)))^4</f>
        <v>0.820289270479699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20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27" width="25.6941176470588"/>
    <col collapsed="false" hidden="false" max="2" min="2" style="27" width="19.5176470588235"/>
    <col collapsed="false" hidden="false" max="3" min="3" style="27" width="24.9803921568627"/>
    <col collapsed="false" hidden="false" max="4" min="4" style="27" width="19.9529411764706"/>
    <col collapsed="false" hidden="false" max="5" min="5" style="27" width="18.3764705882353"/>
    <col collapsed="false" hidden="false" max="6" min="6" style="27" width="18.2352941176471"/>
    <col collapsed="false" hidden="false" max="7" min="7" style="27" width="18.5137254901961"/>
    <col collapsed="false" hidden="false" max="1025" min="8" style="27" width="9.18823529411765"/>
  </cols>
  <sheetData>
    <row collapsed="false" customFormat="false" customHeight="true" hidden="false" ht="12.75" outlineLevel="0" r="2">
      <c r="A2" s="28" t="s">
        <v>87</v>
      </c>
      <c r="B2" s="29" t="s">
        <v>88</v>
      </c>
      <c r="C2" s="30" t="s">
        <v>89</v>
      </c>
      <c r="D2" s="30" t="s">
        <v>90</v>
      </c>
      <c r="E2" s="29" t="s">
        <v>91</v>
      </c>
      <c r="F2" s="29" t="s">
        <v>92</v>
      </c>
      <c r="G2" s="29" t="s">
        <v>93</v>
      </c>
    </row>
    <row collapsed="false" customFormat="false" customHeight="true" hidden="false" ht="12.75" outlineLevel="0" r="3">
      <c r="A3" s="27" t="n">
        <f aca="false">B3*FocalLength*PI()/180</f>
        <v>4.36332312998582E-005</v>
      </c>
      <c r="B3" s="27" t="n">
        <v>0.0001</v>
      </c>
      <c r="C3" s="27" t="n">
        <f aca="false">ACOS((MIN(1,(Wavelength/1000)*B3*fNumber)))</f>
        <v>1.5707952572949</v>
      </c>
      <c r="D3" s="27" t="n">
        <f aca="false">PI()*MIN(1,(PixelPitch/1000)*B3)</f>
        <v>6.28318530717959E-006</v>
      </c>
      <c r="E3" s="27" t="n">
        <f aca="false">(2/PI())*(C3-COS(C3)*SIN(C3))</f>
        <v>0.999998638270307</v>
      </c>
      <c r="F3" s="27" t="n">
        <f aca="false">SIN(D3)/D3</f>
        <v>0.99999999999342</v>
      </c>
      <c r="G3" s="27" t="n">
        <f aca="false">E3*F3</f>
        <v>0.999998638263727</v>
      </c>
    </row>
    <row collapsed="false" customFormat="false" customHeight="true" hidden="false" ht="12.75" outlineLevel="0" r="4">
      <c r="A4" s="27" t="n">
        <f aca="false">B4*FocalLength*PI()/180</f>
        <v>0.436332312998582</v>
      </c>
      <c r="B4" s="27" t="n">
        <v>1</v>
      </c>
      <c r="C4" s="27" t="n">
        <f aca="false">ACOS((MIN(1,(Wavelength/1000)*B4*fNumber)))</f>
        <v>1.56010112289666</v>
      </c>
      <c r="D4" s="27" t="n">
        <f aca="false">PI()*MIN(1,(PixelPitch/1000)*B4)</f>
        <v>0.0628318530717959</v>
      </c>
      <c r="E4" s="27" t="n">
        <f aca="false">(2/PI())*(C4-COS(C4)*SIN(C4))</f>
        <v>0.986382962671448</v>
      </c>
      <c r="F4" s="27" t="n">
        <f aca="false">SIN(D4)/D4</f>
        <v>0.999342156239841</v>
      </c>
      <c r="G4" s="27" t="n">
        <f aca="false">E4*F4</f>
        <v>0.985734076794327</v>
      </c>
    </row>
    <row collapsed="false" customFormat="false" customHeight="true" hidden="false" ht="12.75" outlineLevel="0" r="5">
      <c r="A5" s="27" t="n">
        <f aca="false">B5*FocalLength*PI()/180</f>
        <v>0.872664625997165</v>
      </c>
      <c r="B5" s="27" t="n">
        <v>2</v>
      </c>
      <c r="C5" s="27" t="n">
        <f aca="false">ACOS((MIN(1,(Wavelength/1000)*B5*fNumber)))</f>
        <v>1.54940469535704</v>
      </c>
      <c r="D5" s="27" t="n">
        <f aca="false">PI()*MIN(1,(PixelPitch/1000)*B5)</f>
        <v>0.125663706143592</v>
      </c>
      <c r="E5" s="27" t="n">
        <f aca="false">(2/PI())*(C5-COS(C5)*SIN(C5))</f>
        <v>0.972767483064154</v>
      </c>
      <c r="F5" s="27" t="n">
        <f aca="false">SIN(D5)/D5</f>
        <v>0.997370182772503</v>
      </c>
      <c r="G5" s="27" t="n">
        <f aca="false">E5*F5</f>
        <v>0.970209282378844</v>
      </c>
    </row>
    <row collapsed="false" customFormat="false" customHeight="true" hidden="false" ht="12.75" outlineLevel="0" r="6">
      <c r="A6" s="27" t="n">
        <f aca="false">B6*FocalLength*PI()/180</f>
        <v>1.30899693899575</v>
      </c>
      <c r="B6" s="27" t="n">
        <v>3</v>
      </c>
      <c r="C6" s="27" t="n">
        <f aca="false">ACOS((MIN(1,(Wavelength/1000)*B6*fNumber)))</f>
        <v>1.53870581927411</v>
      </c>
      <c r="D6" s="27" t="n">
        <f aca="false">PI()*MIN(1,(PixelPitch/1000)*B6)</f>
        <v>0.188495559215388</v>
      </c>
      <c r="E6" s="27" t="n">
        <f aca="false">(2/PI())*(C6-COS(C6)*SIN(C6))</f>
        <v>0.959155119434171</v>
      </c>
      <c r="F6" s="27" t="n">
        <f aca="false">SIN(D6)/D6</f>
        <v>0.994088748645851</v>
      </c>
      <c r="G6" s="27" t="n">
        <f aca="false">E6*F6</f>
        <v>0.953485312435577</v>
      </c>
    </row>
    <row collapsed="false" customFormat="false" customHeight="true" hidden="false" ht="12.75" outlineLevel="0" r="7">
      <c r="A7" s="27" t="n">
        <f aca="false">B7*FocalLength*PI()/180</f>
        <v>1.74532925199433</v>
      </c>
      <c r="B7" s="27" t="n">
        <v>4</v>
      </c>
      <c r="C7" s="27" t="n">
        <f aca="false">ACOS((MIN(1,(Wavelength/1000)*B7*fNumber)))</f>
        <v>1.52800326722123</v>
      </c>
      <c r="D7" s="27" t="n">
        <f aca="false">PI()*MIN(1,(PixelPitch/1000)*B7)</f>
        <v>0.251327412287183</v>
      </c>
      <c r="E7" s="27" t="n">
        <f aca="false">(2/PI())*(C7-COS(C7)*SIN(C7))</f>
        <v>0.945547431108046</v>
      </c>
      <c r="F7" s="27" t="n">
        <f aca="false">SIN(D7)/D7</f>
        <v>0.989505620981308</v>
      </c>
      <c r="G7" s="27" t="n">
        <f aca="false">E7*F7</f>
        <v>0.935624497985848</v>
      </c>
    </row>
    <row collapsed="false" customFormat="false" customHeight="true" hidden="false" ht="12.75" outlineLevel="0" r="8">
      <c r="A8" s="27" t="n">
        <f aca="false">B8*FocalLength*PI()/180</f>
        <v>2.18166156499291</v>
      </c>
      <c r="B8" s="27" t="n">
        <v>5</v>
      </c>
      <c r="C8" s="27" t="n">
        <f aca="false">ACOS((MIN(1,(Wavelength/1000)*B8*fNumber)))</f>
        <v>1.51729580797563</v>
      </c>
      <c r="D8" s="27" t="n">
        <f aca="false">PI()*MIN(1,(PixelPitch/1000)*B8)</f>
        <v>0.314159265358979</v>
      </c>
      <c r="E8" s="27" t="n">
        <f aca="false">(2/PI())*(C8-COS(C8)*SIN(C8))</f>
        <v>0.931945979020381</v>
      </c>
      <c r="F8" s="27" t="n">
        <f aca="false">SIN(D8)/D8</f>
        <v>0.983631643083466</v>
      </c>
      <c r="G8" s="27" t="n">
        <f aca="false">E8*F8</f>
        <v>0.916691554608846</v>
      </c>
    </row>
    <row collapsed="false" customFormat="false" customHeight="true" hidden="false" ht="12.75" outlineLevel="0" r="9">
      <c r="A9" s="27" t="n">
        <f aca="false">B9*FocalLength*PI()/180</f>
        <v>2.61799387799149</v>
      </c>
      <c r="B9" s="27" t="n">
        <v>6</v>
      </c>
      <c r="C9" s="27" t="n">
        <f aca="false">ACOS((MIN(1,(Wavelength/1000)*B9*fNumber)))</f>
        <v>1.50658220523615</v>
      </c>
      <c r="D9" s="27" t="n">
        <f aca="false">PI()*MIN(1,(PixelPitch/1000)*B9)</f>
        <v>0.376991118430775</v>
      </c>
      <c r="E9" s="27" t="n">
        <f aca="false">(2/PI())*(C9-COS(C9)*SIN(C9))</f>
        <v>0.918352326254144</v>
      </c>
      <c r="F9" s="27" t="n">
        <f aca="false">SIN(D9)/D9</f>
        <v>0.976480703887656</v>
      </c>
      <c r="G9" s="27" t="n">
        <f aca="false">E9*F9</f>
        <v>0.896753325957512</v>
      </c>
    </row>
    <row collapsed="false" customFormat="false" customHeight="true" hidden="false" ht="12.75" outlineLevel="0" r="10">
      <c r="A10" s="27" t="n">
        <f aca="false">B10*FocalLength*PI()/180</f>
        <v>3.05432619099008</v>
      </c>
      <c r="B10" s="27" t="n">
        <v>7</v>
      </c>
      <c r="C10" s="27" t="n">
        <f aca="false">ACOS((MIN(1,(Wavelength/1000)*B10*fNumber)))</f>
        <v>1.49586121632621</v>
      </c>
      <c r="D10" s="27" t="n">
        <f aca="false">PI()*MIN(1,(PixelPitch/1000)*B10)</f>
        <v>0.439822971502571</v>
      </c>
      <c r="E10" s="27" t="n">
        <f aca="false">(2/PI())*(C10-COS(C10)*SIN(C10))</f>
        <v>0.904768038584707</v>
      </c>
      <c r="F10" s="27" t="n">
        <f aca="false">SIN(D10)/D10</f>
        <v>0.968069698839238</v>
      </c>
      <c r="G10" s="27" t="n">
        <f aca="false">E10*F10</f>
        <v>0.875878522632065</v>
      </c>
    </row>
    <row collapsed="false" customFormat="false" customHeight="true" hidden="false" ht="12.75" outlineLevel="0" r="11">
      <c r="A11" s="27" t="n">
        <f aca="false">B11*FocalLength*PI()/180</f>
        <v>3.49065850398866</v>
      </c>
      <c r="B11" s="27" t="n">
        <v>8</v>
      </c>
      <c r="C11" s="27" t="n">
        <f aca="false">ACOS((MIN(1,(Wavelength/1000)*B11*fNumber)))</f>
        <v>1.48513159087847</v>
      </c>
      <c r="D11" s="27" t="n">
        <f aca="false">PI()*MIN(1,(PixelPitch/1000)*B11)</f>
        <v>0.502654824574367</v>
      </c>
      <c r="E11" s="27" t="n">
        <f aca="false">(2/PI())*(C11-COS(C11)*SIN(C11))</f>
        <v>0.891194685028545</v>
      </c>
      <c r="F11" s="27" t="n">
        <f aca="false">SIN(D11)/D11</f>
        <v>0.958418482324625</v>
      </c>
      <c r="G11" s="27" t="n">
        <f aca="false">E11*F11</f>
        <v>0.85413745748083</v>
      </c>
    </row>
    <row collapsed="false" customFormat="false" customHeight="true" hidden="false" ht="12.75" outlineLevel="0" r="12">
      <c r="A12" s="27" t="n">
        <f aca="false">B12*FocalLength*PI()/180</f>
        <v>3.92699081698724</v>
      </c>
      <c r="B12" s="27" t="n">
        <v>9</v>
      </c>
      <c r="C12" s="27" t="n">
        <f aca="false">ACOS((MIN(1,(Wavelength/1000)*B12*fNumber)))</f>
        <v>1.47439206949702</v>
      </c>
      <c r="D12" s="27" t="n">
        <f aca="false">PI()*MIN(1,(PixelPitch/1000)*B12)</f>
        <v>0.565486677646163</v>
      </c>
      <c r="E12" s="27" t="n">
        <f aca="false">(2/PI())*(C12-COS(C12)*SIN(C12))</f>
        <v>0.87763383839757</v>
      </c>
      <c r="F12" s="27" t="n">
        <f aca="false">SIN(D12)/D12</f>
        <v>0.947549811799943</v>
      </c>
      <c r="G12" s="27" t="n">
        <f aca="false">E12*F12</f>
        <v>0.831601778402879</v>
      </c>
    </row>
    <row collapsed="false" customFormat="false" customHeight="true" hidden="false" ht="12.75" outlineLevel="0" r="13">
      <c r="A13" s="27" t="n">
        <f aca="false">B13*FocalLength*PI()/180</f>
        <v>4.36332312998582</v>
      </c>
      <c r="B13" s="27" t="n">
        <v>10</v>
      </c>
      <c r="C13" s="27" t="n">
        <f aca="false">ACOS((MIN(1,(Wavelength/1000)*B13*fNumber)))</f>
        <v>1.46364138239314</v>
      </c>
      <c r="D13" s="27" t="n">
        <f aca="false">PI()*MIN(1,(PixelPitch/1000)*B13)</f>
        <v>0.628318530717959</v>
      </c>
      <c r="E13" s="27" t="n">
        <f aca="false">(2/PI())*(C13-COS(C13)*SIN(C13))</f>
        <v>0.86408707586012</v>
      </c>
      <c r="F13" s="27" t="n">
        <f aca="false">SIN(D13)/D13</f>
        <v>0.935489283788639</v>
      </c>
      <c r="G13" s="27" t="n">
        <f aca="false">E13*F13</f>
        <v>0.808344199727403</v>
      </c>
    </row>
    <row collapsed="false" customFormat="false" customHeight="true" hidden="false" ht="12.75" outlineLevel="0" r="14">
      <c r="A14" s="27" t="n">
        <f aca="false">B14*FocalLength*PI()/180</f>
        <v>4.79965544298441</v>
      </c>
      <c r="B14" s="27" t="n">
        <v>11</v>
      </c>
      <c r="C14" s="27" t="n">
        <f aca="false">ACOS((MIN(1,(Wavelength/1000)*B14*fNumber)))</f>
        <v>1.45287824799047</v>
      </c>
      <c r="D14" s="27" t="n">
        <f aca="false">PI()*MIN(1,(PixelPitch/1000)*B14)</f>
        <v>0.691150383789755</v>
      </c>
      <c r="E14" s="27" t="n">
        <f aca="false">(2/PI())*(C14-COS(C14)*SIN(C14))</f>
        <v>0.8505559795096</v>
      </c>
      <c r="F14" s="27" t="n">
        <f aca="false">SIN(D14)/D14</f>
        <v>0.922265261944196</v>
      </c>
      <c r="G14" s="27" t="n">
        <f aca="false">E14*F14</f>
        <v>0.784438233240623</v>
      </c>
    </row>
    <row collapsed="false" customFormat="false" customHeight="true" hidden="false" ht="12.75" outlineLevel="0" r="15">
      <c r="A15" s="27" t="n">
        <f aca="false">B15*FocalLength*PI()/180</f>
        <v>5.23598775598299</v>
      </c>
      <c r="B15" s="27" t="n">
        <v>12</v>
      </c>
      <c r="C15" s="27" t="n">
        <f aca="false">ACOS((MIN(1,(Wavelength/1000)*B15*fNumber)))</f>
        <v>1.44210137149516</v>
      </c>
      <c r="D15" s="27" t="n">
        <f aca="false">PI()*MIN(1,(PixelPitch/1000)*B15)</f>
        <v>0.75398223686155</v>
      </c>
      <c r="E15" s="27" t="n">
        <f aca="false">(2/PI())*(C15-COS(C15)*SIN(C15))</f>
        <v>0.837042136941848</v>
      </c>
      <c r="F15" s="27" t="n">
        <f aca="false">SIN(D15)/D15</f>
        <v>0.907908797398351</v>
      </c>
      <c r="G15" s="27" t="n">
        <f aca="false">E15*F15</f>
        <v>0.759957919922619</v>
      </c>
    </row>
    <row collapsed="false" customFormat="false" customHeight="true" hidden="false" ht="12.75" outlineLevel="0" r="16">
      <c r="A16" s="27" t="n">
        <f aca="false">B16*FocalLength*PI()/180</f>
        <v>5.67232006898157</v>
      </c>
      <c r="B16" s="27" t="n">
        <v>13</v>
      </c>
      <c r="C16" s="27" t="n">
        <f aca="false">ACOS((MIN(1,(Wavelength/1000)*B16*fNumber)))</f>
        <v>1.43130944342643</v>
      </c>
      <c r="D16" s="27" t="n">
        <f aca="false">PI()*MIN(1,(PixelPitch/1000)*B16)</f>
        <v>0.816814089933346</v>
      </c>
      <c r="E16" s="27" t="n">
        <f aca="false">(2/PI())*(C16-COS(C16)*SIN(C16))</f>
        <v>0.823547141842322</v>
      </c>
      <c r="F16" s="27" t="n">
        <f aca="false">SIN(D16)/D16</f>
        <v>0.892453541638706</v>
      </c>
      <c r="G16" s="27" t="n">
        <f aca="false">E16*F16</f>
        <v>0.734977563443614</v>
      </c>
    </row>
    <row collapsed="false" customFormat="false" customHeight="true" hidden="false" ht="12.75" outlineLevel="0" r="17">
      <c r="A17" s="27" t="n">
        <f aca="false">B17*FocalLength*PI()/180</f>
        <v>6.10865238198015</v>
      </c>
      <c r="B17" s="27" t="n">
        <v>14</v>
      </c>
      <c r="C17" s="27" t="n">
        <f aca="false">ACOS((MIN(1,(Wavelength/1000)*B17*fNumber)))</f>
        <v>1.42050113810269</v>
      </c>
      <c r="D17" s="27" t="n">
        <f aca="false">PI()*MIN(1,(PixelPitch/1000)*B17)</f>
        <v>0.879645943005142</v>
      </c>
      <c r="E17" s="27" t="n">
        <f aca="false">(2/PI())*(C17-COS(C17)*SIN(C17))</f>
        <v>0.810072594584227</v>
      </c>
      <c r="F17" s="27" t="n">
        <f aca="false">SIN(D17)/D17</f>
        <v>0.875935652182375</v>
      </c>
      <c r="G17" s="27" t="n">
        <f aca="false">E17*F17</f>
        <v>0.709571466452204</v>
      </c>
    </row>
    <row collapsed="false" customFormat="false" customHeight="true" hidden="false" ht="12.75" outlineLevel="0" r="18">
      <c r="A18" s="27" t="n">
        <f aca="false">B18*FocalLength*PI()/180</f>
        <v>6.54498469497874</v>
      </c>
      <c r="B18" s="27" t="n">
        <v>15</v>
      </c>
      <c r="C18" s="27" t="n">
        <f aca="false">ACOS((MIN(1,(Wavelength/1000)*B18*fNumber)))</f>
        <v>1.40967511207814</v>
      </c>
      <c r="D18" s="27" t="n">
        <f aca="false">PI()*MIN(1,(PixelPitch/1000)*B18)</f>
        <v>0.942477796076938</v>
      </c>
      <c r="E18" s="27" t="n">
        <f aca="false">(2/PI())*(C18-COS(C18)*SIN(C18))</f>
        <v>0.796620102838787</v>
      </c>
      <c r="F18" s="27" t="n">
        <f aca="false">SIN(D18)/D18</f>
        <v>0.85839369133414</v>
      </c>
      <c r="G18" s="27" t="n">
        <f aca="false">E18*F18</f>
        <v>0.683813670666769</v>
      </c>
    </row>
    <row collapsed="false" customFormat="false" customHeight="true" hidden="false" ht="12.75" outlineLevel="0" r="19">
      <c r="A19" s="27" t="n">
        <f aca="false">B19*FocalLength*PI()/180</f>
        <v>6.98131700797732</v>
      </c>
      <c r="B19" s="27" t="n">
        <v>16</v>
      </c>
      <c r="C19" s="27" t="n">
        <f aca="false">ACOS((MIN(1,(Wavelength/1000)*B19*fNumber)))</f>
        <v>1.39883000252451</v>
      </c>
      <c r="D19" s="27" t="n">
        <f aca="false">PI()*MIN(1,(PixelPitch/1000)*B19)</f>
        <v>1.00530964914873</v>
      </c>
      <c r="E19" s="27" t="n">
        <f aca="false">(2/PI())*(C19-COS(C19)*SIN(C19))</f>
        <v>0.783191282198868</v>
      </c>
      <c r="F19" s="27" t="n">
        <f aca="false">SIN(D19)/D19</f>
        <v>0.83986851833857</v>
      </c>
      <c r="G19" s="27" t="n">
        <f aca="false">E19*F19</f>
        <v>0.657777701756049</v>
      </c>
    </row>
    <row collapsed="false" customFormat="false" customHeight="true" hidden="false" ht="12.75" outlineLevel="0" r="20">
      <c r="A20" s="27" t="n">
        <f aca="false">B20*FocalLength*PI()/180</f>
        <v>7.4176493209759</v>
      </c>
      <c r="B20" s="27" t="n">
        <v>17</v>
      </c>
      <c r="C20" s="27" t="n">
        <f aca="false">ACOS((MIN(1,(Wavelength/1000)*B20*fNumber)))</f>
        <v>1.38796442555216</v>
      </c>
      <c r="D20" s="27" t="n">
        <f aca="false">PI()*MIN(1,(PixelPitch/1000)*B20)</f>
        <v>1.06814150222053</v>
      </c>
      <c r="E20" s="27" t="n">
        <f aca="false">(2/PI())*(C20-COS(C20)*SIN(C20))</f>
        <v>0.769787756817273</v>
      </c>
      <c r="F20" s="27" t="n">
        <f aca="false">SIN(D20)/D20</f>
        <v>0.820403175255464</v>
      </c>
      <c r="G20" s="27" t="n">
        <f aca="false">E20*F20</f>
        <v>0.631536319965672</v>
      </c>
    </row>
    <row collapsed="false" customFormat="false" customHeight="true" hidden="false" ht="12.75" outlineLevel="0" r="21">
      <c r="A21" s="27" t="n">
        <f aca="false">B21*FocalLength*PI()/180</f>
        <v>7.85398163397448</v>
      </c>
      <c r="B21" s="27" t="n">
        <v>18</v>
      </c>
      <c r="C21" s="27" t="n">
        <f aca="false">ACOS((MIN(1,(Wavelength/1000)*B21*fNumber)))</f>
        <v>1.37707697446436</v>
      </c>
      <c r="D21" s="27" t="n">
        <f aca="false">PI()*MIN(1,(PixelPitch/1000)*B21)</f>
        <v>1.13097335529233</v>
      </c>
      <c r="E21" s="27" t="n">
        <f aca="false">(2/PI())*(C21-COS(C21)*SIN(C21))</f>
        <v>0.756411160061047</v>
      </c>
      <c r="F21" s="27" t="n">
        <f aca="false">SIN(D21)/D21</f>
        <v>0.800042766906871</v>
      </c>
      <c r="G21" s="27" t="n">
        <f aca="false">E21*F21</f>
        <v>0.605161277414476</v>
      </c>
    </row>
    <row collapsed="false" customFormat="false" customHeight="true" hidden="false" ht="12.75" outlineLevel="0" r="22">
      <c r="A22" s="27" t="n">
        <f aca="false">B22*FocalLength*PI()/180</f>
        <v>8.29031394697307</v>
      </c>
      <c r="B22" s="27" t="n">
        <v>19</v>
      </c>
      <c r="C22" s="27" t="n">
        <f aca="false">ACOS((MIN(1,(Wavelength/1000)*B22*fNumber)))</f>
        <v>1.36616621793834</v>
      </c>
      <c r="D22" s="27" t="n">
        <f aca="false">PI()*MIN(1,(PixelPitch/1000)*B22)</f>
        <v>1.19380520836412</v>
      </c>
      <c r="E22" s="27" t="n">
        <f aca="false">(2/PI())*(C22-COS(C22)*SIN(C22))</f>
        <v>0.74306313518323</v>
      </c>
      <c r="F22" s="27" t="n">
        <f aca="false">SIN(D22)/D22</f>
        <v>0.778834335261722</v>
      </c>
      <c r="G22" s="27" t="n">
        <f aca="false">E22*F22</f>
        <v>0.578723082947922</v>
      </c>
    </row>
    <row collapsed="false" customFormat="false" customHeight="true" hidden="false" ht="12.75" outlineLevel="0" r="23">
      <c r="A23" s="27" t="n">
        <f aca="false">B23*FocalLength*PI()/180</f>
        <v>8.72664625997165</v>
      </c>
      <c r="B23" s="27" t="n">
        <v>20</v>
      </c>
      <c r="C23" s="27" t="n">
        <f aca="false">ACOS((MIN(1,(Wavelength/1000)*B23*fNumber)))</f>
        <v>1.35523069812598</v>
      </c>
      <c r="D23" s="27" t="n">
        <f aca="false">PI()*MIN(1,(PixelPitch/1000)*B23)</f>
        <v>1.25663706143592</v>
      </c>
      <c r="E23" s="27" t="n">
        <f aca="false">(2/PI())*(C23-COS(C23)*SIN(C23))</f>
        <v>0.72974533601357</v>
      </c>
      <c r="F23" s="27" t="n">
        <f aca="false">SIN(D23)/D23</f>
        <v>0.756826728640657</v>
      </c>
      <c r="G23" s="27" t="n">
        <f aca="false">E23*F23</f>
        <v>0.552290775395927</v>
      </c>
    </row>
    <row collapsed="false" customFormat="false" customHeight="true" hidden="false" ht="12.75" outlineLevel="0" r="24">
      <c r="A24" s="27" t="n">
        <f aca="false">B24*FocalLength*PI()/180</f>
        <v>9.16297857297023</v>
      </c>
      <c r="B24" s="27" t="n">
        <v>21</v>
      </c>
      <c r="C24" s="27" t="n">
        <f aca="false">ACOS((MIN(1,(Wavelength/1000)*B24*fNumber)))</f>
        <v>1.34426892866665</v>
      </c>
      <c r="D24" s="27" t="n">
        <f aca="false">PI()*MIN(1,(PixelPitch/1000)*B24)</f>
        <v>1.31946891450771</v>
      </c>
      <c r="E24" s="27" t="n">
        <f aca="false">(2/PI())*(C24-COS(C24)*SIN(C24))</f>
        <v>0.716459427669786</v>
      </c>
      <c r="F24" s="27" t="n">
        <f aca="false">SIN(D24)/D24</f>
        <v>0.734070466139026</v>
      </c>
      <c r="G24" s="27" t="n">
        <f aca="false">E24*F24</f>
        <v>0.525931706039259</v>
      </c>
    </row>
    <row collapsed="false" customFormat="false" customHeight="true" hidden="false" ht="12.75" outlineLevel="0" r="25">
      <c r="A25" s="27" t="n">
        <f aca="false">B25*FocalLength*PI()/180</f>
        <v>9.59931088596881</v>
      </c>
      <c r="B25" s="27" t="n">
        <v>22</v>
      </c>
      <c r="C25" s="27" t="n">
        <f aca="false">ACOS((MIN(1,(Wavelength/1000)*B25*fNumber)))</f>
        <v>1.33327939260401</v>
      </c>
      <c r="D25" s="27" t="n">
        <f aca="false">PI()*MIN(1,(PixelPitch/1000)*B25)</f>
        <v>1.38230076757951</v>
      </c>
      <c r="E25" s="27" t="n">
        <f aca="false">(2/PI())*(C25-COS(C25)*SIN(C25))</f>
        <v>0.703207087291086</v>
      </c>
      <c r="F25" s="27" t="n">
        <f aca="false">SIN(D25)/D25</f>
        <v>0.710617597680085</v>
      </c>
      <c r="G25" s="27" t="n">
        <f aca="false">E25*F25</f>
        <v>0.499711331042401</v>
      </c>
    </row>
    <row collapsed="false" customFormat="false" customHeight="true" hidden="false" ht="12.75" outlineLevel="0" r="26">
      <c r="A26" s="27" t="n">
        <f aca="false">B26*FocalLength*PI()/180</f>
        <v>10.0356431989674</v>
      </c>
      <c r="B26" s="27" t="n">
        <v>23</v>
      </c>
      <c r="C26" s="27" t="n">
        <f aca="false">ACOS((MIN(1,(Wavelength/1000)*B26*fNumber)))</f>
        <v>1.32226054019794</v>
      </c>
      <c r="D26" s="27" t="n">
        <f aca="false">PI()*MIN(1,(PixelPitch/1000)*B26)</f>
        <v>1.4451326206513</v>
      </c>
      <c r="E26" s="27" t="n">
        <f aca="false">(2/PI())*(C26-COS(C26)*SIN(C26))</f>
        <v>0.68999000479574</v>
      </c>
      <c r="F26" s="27" t="n">
        <f aca="false">SIN(D26)/D26</f>
        <v>0.686521560123211</v>
      </c>
      <c r="G26" s="27" t="n">
        <f aca="false">E26*F26</f>
        <v>0.473693014561793</v>
      </c>
    </row>
    <row collapsed="false" customFormat="false" customHeight="true" hidden="false" ht="12.75" outlineLevel="0" r="27">
      <c r="A27" s="27" t="n">
        <f aca="false">B27*FocalLength*PI()/180</f>
        <v>10.471975511966</v>
      </c>
      <c r="B27" s="27" t="n">
        <v>24</v>
      </c>
      <c r="C27" s="27" t="n">
        <f aca="false">ACOS((MIN(1,(Wavelength/1000)*B27*fNumber)))</f>
        <v>1.31121078662212</v>
      </c>
      <c r="D27" s="27" t="n">
        <f aca="false">PI()*MIN(1,(PixelPitch/1000)*B27)</f>
        <v>1.5079644737231</v>
      </c>
      <c r="E27" s="27" t="n">
        <f aca="false">(2/PI())*(C27-COS(C27)*SIN(C27))</f>
        <v>0.676809883664627</v>
      </c>
      <c r="F27" s="27" t="n">
        <f aca="false">SIN(D27)/D27</f>
        <v>0.6618370298633</v>
      </c>
      <c r="G27" s="27" t="n">
        <f aca="false">E27*F27</f>
        <v>0.447937843186723</v>
      </c>
    </row>
    <row collapsed="false" customFormat="false" customHeight="true" hidden="false" ht="12.75" outlineLevel="0" r="28">
      <c r="A28" s="27" t="n">
        <f aca="false">B28*FocalLength*PI()/180</f>
        <v>10.9083078249646</v>
      </c>
      <c r="B28" s="27" t="n">
        <v>25</v>
      </c>
      <c r="C28" s="27" t="n">
        <f aca="false">ACOS((MIN(1,(Wavelength/1000)*B28*fNumber)))</f>
        <v>1.30012850953681</v>
      </c>
      <c r="D28" s="27" t="n">
        <f aca="false">PI()*MIN(1,(PixelPitch/1000)*B28)</f>
        <v>1.5707963267949</v>
      </c>
      <c r="E28" s="27" t="n">
        <f aca="false">(2/PI())*(C28-COS(C28)*SIN(C28))</f>
        <v>0.663668441752811</v>
      </c>
      <c r="F28" s="27" t="n">
        <f aca="false">SIN(D28)/D28</f>
        <v>0.636619772367581</v>
      </c>
      <c r="G28" s="27" t="n">
        <f aca="false">E28*F28</f>
        <v>0.422504452316222</v>
      </c>
    </row>
    <row collapsed="false" customFormat="false" customHeight="true" hidden="false" ht="12.75" outlineLevel="0" r="29">
      <c r="A29" s="27" t="n">
        <f aca="false">B29*FocalLength*PI()/180</f>
        <v>11.3446401379631</v>
      </c>
      <c r="B29" s="27" t="n">
        <v>26</v>
      </c>
      <c r="C29" s="27" t="n">
        <f aca="false">ACOS((MIN(1,(Wavelength/1000)*B29*fNumber)))</f>
        <v>1.28901204652555</v>
      </c>
      <c r="D29" s="27" t="n">
        <f aca="false">PI()*MIN(1,(PixelPitch/1000)*B29)</f>
        <v>1.63362817986669</v>
      </c>
      <c r="E29" s="27" t="n">
        <f aca="false">(2/PI())*(C29-COS(C29)*SIN(C29))</f>
        <v>0.650567412131342</v>
      </c>
      <c r="F29" s="27" t="n">
        <f aca="false">SIN(D29)/D29</f>
        <v>0.610926489104585</v>
      </c>
      <c r="G29" s="27" t="n">
        <f aca="false">E29*F29</f>
        <v>0.397448865019256</v>
      </c>
    </row>
    <row collapsed="false" customFormat="false" customHeight="true" hidden="false" ht="12.75" outlineLevel="0" r="30">
      <c r="A30" s="27" t="n">
        <f aca="false">B30*FocalLength*PI()/180</f>
        <v>11.7809724509617</v>
      </c>
      <c r="B30" s="27" t="n">
        <v>27</v>
      </c>
      <c r="C30" s="27" t="n">
        <f aca="false">ACOS((MIN(1,(Wavelength/1000)*B30*fNumber)))</f>
        <v>1.27785969238348</v>
      </c>
      <c r="D30" s="27" t="n">
        <f aca="false">PI()*MIN(1,(PixelPitch/1000)*B30)</f>
        <v>1.69646003293849</v>
      </c>
      <c r="E30" s="27" t="n">
        <f aca="false">(2/PI())*(C30-COS(C30)*SIN(C30))</f>
        <v>0.637508543961638</v>
      </c>
      <c r="F30" s="27" t="n">
        <f aca="false">SIN(D30)/D30</f>
        <v>0.584814662327179</v>
      </c>
      <c r="G30" s="27" t="n">
        <f aca="false">E30*F30</f>
        <v>0.372824343867617</v>
      </c>
    </row>
    <row collapsed="false" customFormat="false" customHeight="true" hidden="false" ht="12.75" outlineLevel="0" r="31">
      <c r="A31" s="27" t="n">
        <f aca="false">B31*FocalLength*PI()/180</f>
        <v>12.2173047639603</v>
      </c>
      <c r="B31" s="27" t="n">
        <v>28</v>
      </c>
      <c r="C31" s="27" t="n">
        <f aca="false">ACOS((MIN(1,(Wavelength/1000)*B31*fNumber)))</f>
        <v>1.26666969624373</v>
      </c>
      <c r="D31" s="27" t="n">
        <f aca="false">PI()*MIN(1,(PixelPitch/1000)*B31)</f>
        <v>1.75929188601028</v>
      </c>
      <c r="E31" s="27" t="n">
        <f aca="false">(2/PI())*(C31-COS(C31)*SIN(C31))</f>
        <v>0.624493603404977</v>
      </c>
      <c r="F31" s="27" t="n">
        <f aca="false">SIN(D31)/D31</f>
        <v>0.55834239817721</v>
      </c>
      <c r="G31" s="27" t="n">
        <f aca="false">E31*F31</f>
        <v>0.348681256171462</v>
      </c>
    </row>
    <row collapsed="false" customFormat="false" customHeight="true" hidden="false" ht="12.75" outlineLevel="0" r="32">
      <c r="A32" s="27" t="n">
        <f aca="false">B32*FocalLength*PI()/180</f>
        <v>12.6536370769589</v>
      </c>
      <c r="B32" s="27" t="n">
        <v>29</v>
      </c>
      <c r="C32" s="27" t="n">
        <f aca="false">ACOS((MIN(1,(Wavelength/1000)*B32*fNumber)))</f>
        <v>1.25544025852724</v>
      </c>
      <c r="D32" s="27" t="n">
        <f aca="false">PI()*MIN(1,(PixelPitch/1000)*B32)</f>
        <v>1.82212373908208</v>
      </c>
      <c r="E32" s="27" t="n">
        <f aca="false">(2/PI())*(C32-COS(C32)*SIN(C32))</f>
        <v>0.611524374569815</v>
      </c>
      <c r="F32" s="27" t="n">
        <f aca="false">SIN(D32)/D32</f>
        <v>0.531568268583432</v>
      </c>
      <c r="G32" s="27" t="n">
        <f aca="false">E32*F32</f>
        <v>0.325066952986643</v>
      </c>
    </row>
    <row collapsed="false" customFormat="false" customHeight="true" hidden="false" ht="12.75" outlineLevel="0" r="33">
      <c r="A33" s="27" t="n">
        <f aca="false">B33*FocalLength*PI()/180</f>
        <v>13.0899693899575</v>
      </c>
      <c r="B33" s="27" t="n">
        <v>30</v>
      </c>
      <c r="C33" s="27" t="n">
        <f aca="false">ACOS((MIN(1,(Wavelength/1000)*B33*fNumber)))</f>
        <v>1.2441695276997</v>
      </c>
      <c r="D33" s="27" t="n">
        <f aca="false">PI()*MIN(1,(PixelPitch/1000)*B33)</f>
        <v>1.88495559215388</v>
      </c>
      <c r="E33" s="27" t="n">
        <f aca="false">(2/PI())*(C33-COS(C33)*SIN(C33))</f>
        <v>0.59860266049988</v>
      </c>
      <c r="F33" s="27" t="n">
        <f aca="false">SIN(D33)/D33</f>
        <v>0.504551152427105</v>
      </c>
      <c r="G33" s="27" t="n">
        <f aca="false">E33*F33</f>
        <v>0.302025662201145</v>
      </c>
    </row>
    <row collapsed="false" customFormat="false" customHeight="true" hidden="false" ht="12.75" outlineLevel="0" r="34">
      <c r="A34" s="27" t="n">
        <f aca="false">B34*FocalLength*PI()/180</f>
        <v>13.5263017029561</v>
      </c>
      <c r="B34" s="27" t="n">
        <v>31</v>
      </c>
      <c r="C34" s="27" t="n">
        <f aca="false">ACOS((MIN(1,(Wavelength/1000)*B34*fNumber)))</f>
        <v>1.23285559681777</v>
      </c>
      <c r="D34" s="27" t="n">
        <f aca="false">PI()*MIN(1,(PixelPitch/1000)*B34)</f>
        <v>1.94778744522567</v>
      </c>
      <c r="E34" s="27" t="n">
        <f aca="false">(2/PI())*(C34-COS(C34)*SIN(C34))</f>
        <v>0.585730284206204</v>
      </c>
      <c r="F34" s="27" t="n">
        <f aca="false">SIN(D34)/D34</f>
        <v>0.477350076450733</v>
      </c>
      <c r="G34" s="27" t="n">
        <f aca="false">E34*F34</f>
        <v>0.279598395945341</v>
      </c>
    </row>
    <row collapsed="false" customFormat="false" customHeight="true" hidden="false" ht="12.75" outlineLevel="0" r="35">
      <c r="A35" s="27" t="n">
        <f aca="false">B35*FocalLength*PI()/180</f>
        <v>13.9626340159546</v>
      </c>
      <c r="B35" s="27" t="n">
        <v>32</v>
      </c>
      <c r="C35" s="27" t="n">
        <f aca="false">ACOS((MIN(1,(Wavelength/1000)*B35*fNumber)))</f>
        <v>1.22149649984516</v>
      </c>
      <c r="D35" s="27" t="n">
        <f aca="false">PI()*MIN(1,(PixelPitch/1000)*B35)</f>
        <v>2.01061929829747</v>
      </c>
      <c r="E35" s="27" t="n">
        <f aca="false">(2/PI())*(C35-COS(C35)*SIN(C35))</f>
        <v>0.572909089746522</v>
      </c>
      <c r="F35" s="27" t="n">
        <f aca="false">SIN(D35)/D35</f>
        <v>0.450024056385115</v>
      </c>
      <c r="G35" s="27" t="n">
        <f aca="false">E35*F35</f>
        <v>0.257822872507634</v>
      </c>
    </row>
    <row collapsed="false" customFormat="false" customHeight="true" hidden="false" ht="12.75" outlineLevel="0" r="36">
      <c r="A36" s="27" t="n">
        <f aca="false">B36*FocalLength*PI()/180</f>
        <v>14.3989663289532</v>
      </c>
      <c r="B36" s="27" t="n">
        <v>33</v>
      </c>
      <c r="C36" s="27" t="n">
        <f aca="false">ACOS((MIN(1,(Wavelength/1000)*B36*fNumber)))</f>
        <v>1.21009020771659</v>
      </c>
      <c r="D36" s="27" t="n">
        <f aca="false">PI()*MIN(1,(PixelPitch/1000)*B36)</f>
        <v>2.07345115136926</v>
      </c>
      <c r="E36" s="27" t="n">
        <f aca="false">(2/PI())*(C36-COS(C36)*SIN(C36))</f>
        <v>0.560140943355773</v>
      </c>
      <c r="F36" s="27" t="n">
        <f aca="false">SIN(D36)/D36</f>
        <v>0.422631938767966</v>
      </c>
      <c r="G36" s="27" t="n">
        <f aca="false">E36*F36</f>
        <v>0.236733452873768</v>
      </c>
    </row>
    <row collapsed="false" customFormat="false" customHeight="true" hidden="false" ht="12.75" outlineLevel="0" r="37">
      <c r="A37" s="27" t="n">
        <f aca="false">B37*FocalLength*PI()/180</f>
        <v>14.8352986419518</v>
      </c>
      <c r="B37" s="27" t="n">
        <v>34</v>
      </c>
      <c r="C37" s="27" t="n">
        <f aca="false">ACOS((MIN(1,(Wavelength/1000)*B37*fNumber)))</f>
        <v>1.19863462412597</v>
      </c>
      <c r="D37" s="27" t="n">
        <f aca="false">PI()*MIN(1,(PixelPitch/1000)*B37)</f>
        <v>2.13628300444106</v>
      </c>
      <c r="E37" s="27" t="n">
        <f aca="false">(2/PI())*(C37-COS(C37)*SIN(C37))</f>
        <v>0.547427734631723</v>
      </c>
      <c r="F37" s="27" t="n">
        <f aca="false">SIN(D37)/D37</f>
        <v>0.395232243924033</v>
      </c>
      <c r="G37" s="27" t="n">
        <f aca="false">E37*F37</f>
        <v>0.216361091944746</v>
      </c>
    </row>
    <row collapsed="false" customFormat="false" customHeight="true" hidden="false" ht="12.75" outlineLevel="0" r="38">
      <c r="A38" s="27" t="n">
        <f aca="false">B38*FocalLength*PI()/180</f>
        <v>15.2716309549504</v>
      </c>
      <c r="B38" s="27" t="n">
        <v>35</v>
      </c>
      <c r="C38" s="27" t="n">
        <f aca="false">ACOS((MIN(1,(Wavelength/1000)*B38*fNumber)))</f>
        <v>1.18712758101204</v>
      </c>
      <c r="D38" s="27" t="n">
        <f aca="false">PI()*MIN(1,(PixelPitch/1000)*B38)</f>
        <v>2.19911485751286</v>
      </c>
      <c r="E38" s="27" t="n">
        <f aca="false">(2/PI())*(C38-COS(C38)*SIN(C38))</f>
        <v>0.534771377780134</v>
      </c>
      <c r="F38" s="27" t="n">
        <f aca="false">SIN(D38)/D38</f>
        <v>0.367883010571774</v>
      </c>
      <c r="G38" s="27" t="n">
        <f aca="false">E38*F38</f>
        <v>0.196733304425371</v>
      </c>
    </row>
    <row collapsed="false" customFormat="false" customHeight="true" hidden="false" ht="12.75" outlineLevel="0" r="39">
      <c r="A39" s="27" t="n">
        <f aca="false">B39*FocalLength*PI()/180</f>
        <v>15.707963267949</v>
      </c>
      <c r="B39" s="27" t="n">
        <v>36</v>
      </c>
      <c r="C39" s="27" t="n">
        <f aca="false">ACOS((MIN(1,(Wavelength/1000)*B39*fNumber)))</f>
        <v>1.17556683371209</v>
      </c>
      <c r="D39" s="27" t="n">
        <f aca="false">PI()*MIN(1,(PixelPitch/1000)*B39)</f>
        <v>2.26194671058465</v>
      </c>
      <c r="E39" s="27" t="n">
        <f aca="false">(2/PI())*(C39-COS(C39)*SIN(C39))</f>
        <v>0.522173812924238</v>
      </c>
      <c r="F39" s="27" t="n">
        <f aca="false">SIN(D39)/D39</f>
        <v>0.340641642515368</v>
      </c>
      <c r="G39" s="27" t="n">
        <f aca="false">E39*F39</f>
        <v>0.177874145313025</v>
      </c>
    </row>
    <row collapsed="false" customFormat="false" customHeight="true" hidden="false" ht="12.75" outlineLevel="0" r="40">
      <c r="A40" s="27" t="n">
        <f aca="false">B40*FocalLength*PI()/180</f>
        <v>16.1442955809476</v>
      </c>
      <c r="B40" s="27" t="n">
        <v>37</v>
      </c>
      <c r="C40" s="27" t="n">
        <f aca="false">ACOS((MIN(1,(Wavelength/1000)*B40*fNumber)))</f>
        <v>1.16395005575101</v>
      </c>
      <c r="D40" s="27" t="n">
        <f aca="false">PI()*MIN(1,(PixelPitch/1000)*B40)</f>
        <v>2.32477856365645</v>
      </c>
      <c r="E40" s="27" t="n">
        <f aca="false">(2/PI())*(C40-COS(C40)*SIN(C40))</f>
        <v>0.509637007483782</v>
      </c>
      <c r="F40" s="27" t="n">
        <f aca="false">SIN(D40)/D40</f>
        <v>0.313564757873059</v>
      </c>
      <c r="G40" s="27" t="n">
        <f aca="false">E40*F40</f>
        <v>0.159804204854802</v>
      </c>
    </row>
    <row collapsed="false" customFormat="false" customHeight="true" hidden="false" ht="12.75" outlineLevel="0" r="41">
      <c r="A41" s="27" t="n">
        <f aca="false">B41*FocalLength*PI()/180</f>
        <v>16.5806278939461</v>
      </c>
      <c r="B41" s="27" t="n">
        <v>38</v>
      </c>
      <c r="C41" s="27" t="n">
        <f aca="false">ACOS((MIN(1,(Wavelength/1000)*B41*fNumber)))</f>
        <v>1.15227483322898</v>
      </c>
      <c r="D41" s="27" t="n">
        <f aca="false">PI()*MIN(1,(PixelPitch/1000)*B41)</f>
        <v>2.38761041672824</v>
      </c>
      <c r="E41" s="27" t="n">
        <f aca="false">(2/PI())*(C41-COS(C41)*SIN(C41))</f>
        <v>0.497162957629335</v>
      </c>
      <c r="F41" s="27" t="n">
        <f aca="false">SIN(D41)/D41</f>
        <v>0.28670804128369</v>
      </c>
      <c r="G41" s="27" t="n">
        <f aca="false">E41*F41</f>
        <v>0.142540617780713</v>
      </c>
    </row>
    <row collapsed="false" customFormat="false" customHeight="true" hidden="false" ht="12.75" outlineLevel="0" r="42">
      <c r="A42" s="27" t="n">
        <f aca="false">B42*FocalLength*PI()/180</f>
        <v>17.0169602069447</v>
      </c>
      <c r="B42" s="27" t="n">
        <v>39</v>
      </c>
      <c r="C42" s="27" t="n">
        <f aca="false">ACOS((MIN(1,(Wavelength/1000)*B42*fNumber)))</f>
        <v>1.14053865876717</v>
      </c>
      <c r="D42" s="27" t="n">
        <f aca="false">PI()*MIN(1,(PixelPitch/1000)*B42)</f>
        <v>2.45044226980004</v>
      </c>
      <c r="E42" s="27" t="n">
        <f aca="false">(2/PI())*(C42-COS(C42)*SIN(C42))</f>
        <v>0.484753689818153</v>
      </c>
      <c r="F42" s="27" t="n">
        <f aca="false">SIN(D42)/D42</f>
        <v>0.260126099522722</v>
      </c>
      <c r="G42" s="27" t="n">
        <f aca="false">E42*F42</f>
        <v>0.126097086561644</v>
      </c>
    </row>
    <row collapsed="false" customFormat="false" customHeight="true" hidden="false" ht="12.75" outlineLevel="0" r="43">
      <c r="A43" s="27" t="n">
        <f aca="false">B43*FocalLength*PI()/180</f>
        <v>17.4532925199433</v>
      </c>
      <c r="B43" s="27" t="n">
        <v>40</v>
      </c>
      <c r="C43" s="27" t="n">
        <f aca="false">ACOS((MIN(1,(Wavelength/1000)*B43*fNumber)))</f>
        <v>1.1287389249656</v>
      </c>
      <c r="D43" s="27" t="n">
        <f aca="false">PI()*MIN(1,(PixelPitch/1000)*B43)</f>
        <v>2.51327412287183</v>
      </c>
      <c r="E43" s="27" t="n">
        <f aca="false">(2/PI())*(C43-COS(C43)*SIN(C43))</f>
        <v>0.47241126241847</v>
      </c>
      <c r="F43" s="27" t="n">
        <f aca="false">SIN(D43)/D43</f>
        <v>0.23387232094716</v>
      </c>
      <c r="G43" s="27" t="n">
        <f aca="false">E43*F43</f>
        <v>0.110483918383385</v>
      </c>
    </row>
    <row collapsed="false" customFormat="false" customHeight="true" hidden="false" ht="12.75" outlineLevel="0" r="44">
      <c r="A44" s="27" t="n">
        <f aca="false">B44*FocalLength*PI()/180</f>
        <v>17.8896248329419</v>
      </c>
      <c r="B44" s="27" t="n">
        <v>41</v>
      </c>
      <c r="C44" s="27" t="n">
        <f aca="false">ACOS((MIN(1,(Wavelength/1000)*B44*fNumber)))</f>
        <v>1.11687291732212</v>
      </c>
      <c r="D44" s="27" t="n">
        <f aca="false">PI()*MIN(1,(PixelPitch/1000)*B44)</f>
        <v>2.57610597594363</v>
      </c>
      <c r="E44" s="27" t="n">
        <f aca="false">(2/PI())*(C44-COS(C44)*SIN(C44))</f>
        <v>0.460137767429797</v>
      </c>
      <c r="F44" s="27" t="n">
        <f aca="false">SIN(D44)/D44</f>
        <v>0.207998739175597</v>
      </c>
      <c r="G44" s="27" t="n">
        <f aca="false">E44*F44</f>
        <v>0.0957080754724719</v>
      </c>
    </row>
    <row collapsed="false" customFormat="false" customHeight="true" hidden="false" ht="12.75" outlineLevel="0" r="45">
      <c r="A45" s="27" t="n">
        <f aca="false">B45*FocalLength*PI()/180</f>
        <v>18.3259571459405</v>
      </c>
      <c r="B45" s="27" t="n">
        <v>42</v>
      </c>
      <c r="C45" s="27" t="n">
        <f aca="false">ACOS((MIN(1,(Wavelength/1000)*B45*fNumber)))</f>
        <v>1.10493780655469</v>
      </c>
      <c r="D45" s="27" t="n">
        <f aca="false">PI()*MIN(1,(PixelPitch/1000)*B45)</f>
        <v>2.63893782901543</v>
      </c>
      <c r="E45" s="27" t="n">
        <f aca="false">(2/PI())*(C45-COS(C45)*SIN(C45))</f>
        <v>0.447935332307564</v>
      </c>
      <c r="F45" s="27" t="n">
        <f aca="false">SIN(D45)/D45</f>
        <v>0.182555901395167</v>
      </c>
      <c r="G45" s="27" t="n">
        <f aca="false">E45*F45</f>
        <v>0.081773238356151</v>
      </c>
    </row>
    <row collapsed="false" customFormat="false" customHeight="true" hidden="false" ht="12.75" outlineLevel="0" r="46">
      <c r="A46" s="27" t="n">
        <f aca="false">B46*FocalLength*PI()/180</f>
        <v>18.762289458939</v>
      </c>
      <c r="B46" s="27" t="n">
        <v>43</v>
      </c>
      <c r="C46" s="27" t="n">
        <f aca="false">ACOS((MIN(1,(Wavelength/1000)*B46*fNumber)))</f>
        <v>1.09293064026232</v>
      </c>
      <c r="D46" s="27" t="n">
        <f aca="false">PI()*MIN(1,(PixelPitch/1000)*B46)</f>
        <v>2.70176968208722</v>
      </c>
      <c r="E46" s="27" t="n">
        <f aca="false">(2/PI())*(C46-COS(C46)*SIN(C46))</f>
        <v>0.435806121901337</v>
      </c>
      <c r="F46" s="27" t="n">
        <f aca="false">SIN(D46)/D46</f>
        <v>0.157592741671504</v>
      </c>
      <c r="G46" s="27" t="n">
        <f aca="false">E46*F46</f>
        <v>0.0686798815876573</v>
      </c>
    </row>
    <row collapsed="false" customFormat="false" customHeight="true" hidden="false" ht="12.75" outlineLevel="0" r="47">
      <c r="A47" s="27" t="n">
        <f aca="false">B47*FocalLength*PI()/180</f>
        <v>19.1986217719376</v>
      </c>
      <c r="B47" s="27" t="n">
        <v>44</v>
      </c>
      <c r="C47" s="27" t="n">
        <f aca="false">ACOS((MIN(1,(Wavelength/1000)*B47*fNumber)))</f>
        <v>1.08084833385127</v>
      </c>
      <c r="D47" s="27" t="n">
        <f aca="false">PI()*MIN(1,(PixelPitch/1000)*B47)</f>
        <v>2.76460153515902</v>
      </c>
      <c r="E47" s="27" t="n">
        <f aca="false">(2/PI())*(C47-COS(C47)*SIN(C47))</f>
        <v>0.423752340516782</v>
      </c>
      <c r="F47" s="27" t="n">
        <f aca="false">SIN(D47)/D47</f>
        <v>0.133156459621044</v>
      </c>
      <c r="G47" s="27" t="n">
        <f aca="false">E47*F47</f>
        <v>0.0564253614193458</v>
      </c>
    </row>
    <row collapsed="false" customFormat="false" customHeight="true" hidden="false" ht="12.75" outlineLevel="0" r="48">
      <c r="A48" s="27" t="n">
        <f aca="false">B48*FocalLength*PI()/180</f>
        <v>19.6349540849362</v>
      </c>
      <c r="B48" s="27" t="n">
        <v>45</v>
      </c>
      <c r="C48" s="27" t="n">
        <f aca="false">ACOS((MIN(1,(Wavelength/1000)*B48*fNumber)))</f>
        <v>1.06868766064371</v>
      </c>
      <c r="D48" s="27" t="n">
        <f aca="false">PI()*MIN(1,(PixelPitch/1000)*B48)</f>
        <v>2.82743338823081</v>
      </c>
      <c r="E48" s="27" t="n">
        <f aca="false">(2/PI())*(C48-COS(C48)*SIN(C48))</f>
        <v>0.411776234112707</v>
      </c>
      <c r="F48" s="27" t="n">
        <f aca="false">SIN(D48)/D48</f>
        <v>0.109292404787052</v>
      </c>
      <c r="G48" s="27" t="n">
        <f aca="false">E48*F48</f>
        <v>0.0450040148603338</v>
      </c>
    </row>
    <row collapsed="false" customFormat="false" customHeight="true" hidden="false" ht="12.75" outlineLevel="0" r="49">
      <c r="A49" s="27" t="n">
        <f aca="false">B49*FocalLength*PI()/180</f>
        <v>20.0712863979348</v>
      </c>
      <c r="B49" s="27" t="n">
        <v>46</v>
      </c>
      <c r="C49" s="27" t="n">
        <f aca="false">ACOS((MIN(1,(Wavelength/1000)*B49*fNumber)))</f>
        <v>1.05644524107465</v>
      </c>
      <c r="D49" s="27" t="n">
        <f aca="false">PI()*MIN(1,(PixelPitch/1000)*B49)</f>
        <v>2.89026524130261</v>
      </c>
      <c r="E49" s="27" t="n">
        <f aca="false">(2/PI())*(C49-COS(C49)*SIN(C49))</f>
        <v>0.399880092645723</v>
      </c>
      <c r="F49" s="27" t="n">
        <f aca="false">SIN(D49)/D49</f>
        <v>0.0860439670418529</v>
      </c>
      <c r="G49" s="27" t="n">
        <f aca="false">E49*F49</f>
        <v>0.0344072695123017</v>
      </c>
    </row>
    <row collapsed="false" customFormat="false" customHeight="true" hidden="false" ht="12.75" outlineLevel="0" r="50">
      <c r="A50" s="27" t="n">
        <f aca="false">B50*FocalLength*PI()/180</f>
        <v>20.5076187109334</v>
      </c>
      <c r="B50" s="27" t="n">
        <v>47</v>
      </c>
      <c r="C50" s="27" t="n">
        <f aca="false">ACOS((MIN(1,(Wavelength/1000)*B50*fNumber)))</f>
        <v>1.04411753087026</v>
      </c>
      <c r="D50" s="27" t="n">
        <f aca="false">PI()*MIN(1,(PixelPitch/1000)*B50)</f>
        <v>2.95309709437441</v>
      </c>
      <c r="E50" s="27" t="n">
        <f aca="false">(2/PI())*(C50-COS(C50)*SIN(C50))</f>
        <v>0.388066252576524</v>
      </c>
      <c r="F50" s="27" t="n">
        <f aca="false">SIN(D50)/D50</f>
        <v>0.0634524733178203</v>
      </c>
      <c r="G50" s="27" t="n">
        <f aca="false">E50*F50</f>
        <v>0.0246237635371584</v>
      </c>
    </row>
    <row collapsed="false" customFormat="false" customHeight="true" hidden="false" ht="12.75" outlineLevel="0" r="51">
      <c r="A51" s="27" t="n">
        <f aca="false">B51*FocalLength*PI()/180</f>
        <v>20.943951023932</v>
      </c>
      <c r="B51" s="27" t="n">
        <v>48</v>
      </c>
      <c r="C51" s="27" t="n">
        <f aca="false">ACOS((MIN(1,(Wavelength/1000)*B51*fNumber)))</f>
        <v>1.03170080808549</v>
      </c>
      <c r="D51" s="27" t="n">
        <f aca="false">PI()*MIN(1,(PixelPitch/1000)*B51)</f>
        <v>3.0159289474462</v>
      </c>
      <c r="E51" s="27" t="n">
        <f aca="false">(2/PI())*(C51-COS(C51)*SIN(C51))</f>
        <v>0.376337099553399</v>
      </c>
      <c r="F51" s="27" t="n">
        <f aca="false">SIN(D51)/D51</f>
        <v>0.0415570909488544</v>
      </c>
      <c r="G51" s="27" t="n">
        <f aca="false">E51*F51</f>
        <v>0.0156394750735687</v>
      </c>
    </row>
    <row collapsed="false" customFormat="false" customHeight="true" hidden="false" ht="12.75" outlineLevel="0" r="52">
      <c r="A52" s="27" t="n">
        <f aca="false">B52*FocalLength*PI()/180</f>
        <v>21.3802833369305</v>
      </c>
      <c r="B52" s="27" t="n">
        <v>49</v>
      </c>
      <c r="C52" s="27" t="n">
        <f aca="false">ACOS((MIN(1,(Wavelength/1000)*B52*fNumber)))</f>
        <v>1.0191911588613</v>
      </c>
      <c r="D52" s="27" t="n">
        <f aca="false">PI()*MIN(1,(PixelPitch/1000)*B52)</f>
        <v>3.078760800518</v>
      </c>
      <c r="E52" s="27" t="n">
        <f aca="false">(2/PI())*(C52-COS(C52)*SIN(C52))</f>
        <v>0.364695071290445</v>
      </c>
      <c r="F52" s="27" t="n">
        <f aca="false">SIN(D52)/D52</f>
        <v>0.0203947378824458</v>
      </c>
      <c r="G52" s="27" t="n">
        <f aca="false">E52*F52</f>
        <v>0.00743786038598852</v>
      </c>
    </row>
    <row collapsed="false" customFormat="false" customHeight="true" hidden="false" ht="12.75" outlineLevel="0" r="53">
      <c r="A53" s="27" t="n">
        <f aca="false">B53*FocalLength*PI()/180</f>
        <v>21.8166156499291</v>
      </c>
      <c r="B53" s="27" t="n">
        <v>50</v>
      </c>
      <c r="C53" s="27" t="n">
        <f aca="false">ACOS((MIN(1,(Wavelength/1000)*B53*fNumber)))</f>
        <v>1.00658446174156</v>
      </c>
      <c r="D53" s="27" t="n">
        <f aca="false">PI()*MIN(1,(PixelPitch/1000)*B53)</f>
        <v>3.14159265358979</v>
      </c>
      <c r="E53" s="27" t="n">
        <f aca="false">(2/PI())*(C53-COS(C53)*SIN(C53))</f>
        <v>0.35314266066008</v>
      </c>
      <c r="F53" s="27" t="n">
        <f aca="false">SIN(D53)/D53</f>
        <v>3.8997686524021E-017</v>
      </c>
      <c r="G53" s="27" t="n">
        <f aca="false">E53*F53</f>
        <v>1.37717467786805E-017</v>
      </c>
    </row>
    <row collapsed="false" customFormat="false" customHeight="true" hidden="false" ht="12.75" outlineLevel="0" r="54">
      <c r="A54" s="27" t="n">
        <f aca="false">B54*FocalLength*PI()/180</f>
        <v>22.2529479629277</v>
      </c>
      <c r="B54" s="27" t="n">
        <v>51</v>
      </c>
      <c r="C54" s="27" t="n">
        <f aca="false">ACOS((MIN(1,(Wavelength/1000)*B54*fNumber)))</f>
        <v>0.99387637036527</v>
      </c>
      <c r="D54" s="27" t="n">
        <f aca="false">PI()*MIN(1,(PixelPitch/1000)*B54)</f>
        <v>3.14159265358979</v>
      </c>
      <c r="E54" s="27" t="n">
        <f aca="false">(2/PI())*(C54-COS(C54)*SIN(C54))</f>
        <v>0.341682419021876</v>
      </c>
      <c r="F54" s="27" t="n">
        <f aca="false">SIN(D54)/D54</f>
        <v>3.8997686524021E-017</v>
      </c>
      <c r="G54" s="27" t="n">
        <f aca="false">E54*F54</f>
        <v>1.33248238677843E-017</v>
      </c>
    </row>
    <row collapsed="false" customFormat="false" customHeight="true" hidden="false" ht="12.75" outlineLevel="0" r="55">
      <c r="A55" s="27" t="n">
        <f aca="false">B55*FocalLength*PI()/180</f>
        <v>22.6892802759263</v>
      </c>
      <c r="B55" s="27" t="n">
        <v>52</v>
      </c>
      <c r="C55" s="27" t="n">
        <f aca="false">ACOS((MIN(1,(Wavelength/1000)*B55*fNumber)))</f>
        <v>0.981062294321597</v>
      </c>
      <c r="D55" s="27" t="n">
        <f aca="false">PI()*MIN(1,(PixelPitch/1000)*B55)</f>
        <v>3.14159265358979</v>
      </c>
      <c r="E55" s="27" t="n">
        <f aca="false">(2/PI())*(C55-COS(C55)*SIN(C55))</f>
        <v>0.330316959812577</v>
      </c>
      <c r="F55" s="27" t="n">
        <f aca="false">SIN(D55)/D55</f>
        <v>3.8997686524021E-017</v>
      </c>
      <c r="G55" s="27" t="n">
        <f aca="false">E55*F55</f>
        <v>1.28815972523385E-017</v>
      </c>
    </row>
    <row collapsed="false" customFormat="false" customHeight="true" hidden="false" ht="12.75" outlineLevel="0" r="56">
      <c r="A56" s="27" t="n">
        <f aca="false">B56*FocalLength*PI()/180</f>
        <v>23.1256125889249</v>
      </c>
      <c r="B56" s="27" t="n">
        <v>53</v>
      </c>
      <c r="C56" s="27" t="n">
        <f aca="false">ACOS((MIN(1,(Wavelength/1000)*B56*fNumber)))</f>
        <v>0.96813737792156</v>
      </c>
      <c r="D56" s="27" t="n">
        <f aca="false">PI()*MIN(1,(PixelPitch/1000)*B56)</f>
        <v>3.14159265358979</v>
      </c>
      <c r="E56" s="27" t="n">
        <f aca="false">(2/PI())*(C56-COS(C56)*SIN(C56))</f>
        <v>0.319048962425366</v>
      </c>
      <c r="F56" s="27" t="n">
        <f aca="false">SIN(D56)/D56</f>
        <v>3.8997686524021E-017</v>
      </c>
      <c r="G56" s="27" t="n">
        <f aca="false">E56*F56</f>
        <v>1.24421714224786E-017</v>
      </c>
    </row>
    <row collapsed="false" customFormat="false" customHeight="true" hidden="false" ht="12.75" outlineLevel="0" r="57">
      <c r="A57" s="27" t="n">
        <f aca="false">B57*FocalLength*PI()/180</f>
        <v>23.5619449019234</v>
      </c>
      <c r="B57" s="27" t="n">
        <v>54</v>
      </c>
      <c r="C57" s="27" t="n">
        <f aca="false">ACOS((MIN(1,(Wavelength/1000)*B57*fNumber)))</f>
        <v>0.955096476600487</v>
      </c>
      <c r="D57" s="27" t="n">
        <f aca="false">PI()*MIN(1,(PixelPitch/1000)*B57)</f>
        <v>3.14159265358979</v>
      </c>
      <c r="E57" s="27" t="n">
        <f aca="false">(2/PI())*(C57-COS(C57)*SIN(C57))</f>
        <v>0.307881176410245</v>
      </c>
      <c r="F57" s="27" t="n">
        <f aca="false">SIN(D57)/D57</f>
        <v>3.8997686524021E-017</v>
      </c>
      <c r="G57" s="27" t="n">
        <f aca="false">E57*F57</f>
        <v>1.20066536042935E-017</v>
      </c>
    </row>
    <row collapsed="false" customFormat="false" customHeight="true" hidden="false" ht="12.75" outlineLevel="0" r="58">
      <c r="A58" s="27" t="n">
        <f aca="false">B58*FocalLength*PI()/180</f>
        <v>23.998277214922</v>
      </c>
      <c r="B58" s="27" t="n">
        <v>55</v>
      </c>
      <c r="C58" s="27" t="n">
        <f aca="false">ACOS((MIN(1,(Wavelength/1000)*B58*fNumber)))</f>
        <v>0.941934130617844</v>
      </c>
      <c r="D58" s="27" t="n">
        <f aca="false">PI()*MIN(1,(PixelPitch/1000)*B58)</f>
        <v>3.14159265358979</v>
      </c>
      <c r="E58" s="27" t="n">
        <f aca="false">(2/PI())*(C58-COS(C58)*SIN(C58))</f>
        <v>0.29681642603173</v>
      </c>
      <c r="F58" s="27" t="n">
        <f aca="false">SIN(D58)/D58</f>
        <v>3.8997686524021E-017</v>
      </c>
      <c r="G58" s="27" t="n">
        <f aca="false">E58*F58</f>
        <v>1.15751539375657E-017</v>
      </c>
    </row>
    <row collapsed="false" customFormat="false" customHeight="true" hidden="false" ht="12.75" outlineLevel="0" r="59">
      <c r="A59" s="27" t="n">
        <f aca="false">B59*FocalLength*PI()/180</f>
        <v>24.4346095279206</v>
      </c>
      <c r="B59" s="27" t="n">
        <v>56</v>
      </c>
      <c r="C59" s="27" t="n">
        <f aca="false">ACOS((MIN(1,(Wavelength/1000)*B59*fNumber)))</f>
        <v>0.928644535664349</v>
      </c>
      <c r="D59" s="27" t="n">
        <f aca="false">PI()*MIN(1,(PixelPitch/1000)*B59)</f>
        <v>3.14159265358979</v>
      </c>
      <c r="E59" s="27" t="n">
        <f aca="false">(2/PI())*(C59-COS(C59)*SIN(C59))</f>
        <v>0.28585761522521</v>
      </c>
      <c r="F59" s="27" t="n">
        <f aca="false">SIN(D59)/D59</f>
        <v>3.8997686524021E-017</v>
      </c>
      <c r="G59" s="27" t="n">
        <f aca="false">E59*F59</f>
        <v>1.1147785669057E-017</v>
      </c>
    </row>
    <row collapsed="false" customFormat="false" customHeight="true" hidden="false" ht="12.75" outlineLevel="0" r="60">
      <c r="A60" s="27" t="n">
        <f aca="false">B60*FocalLength*PI()/180</f>
        <v>24.8709418409192</v>
      </c>
      <c r="B60" s="27" t="n">
        <v>57</v>
      </c>
      <c r="C60" s="27" t="n">
        <f aca="false">ACOS((MIN(1,(Wavelength/1000)*B60*fNumber)))</f>
        <v>0.915221509918087</v>
      </c>
      <c r="D60" s="27" t="n">
        <f aca="false">PI()*MIN(1,(PixelPitch/1000)*B60)</f>
        <v>3.14159265358979</v>
      </c>
      <c r="E60" s="27" t="n">
        <f aca="false">(2/PI())*(C60-COS(C60)*SIN(C60))</f>
        <v>0.275007732999247</v>
      </c>
      <c r="F60" s="27" t="n">
        <f aca="false">SIN(D60)/D60</f>
        <v>3.8997686524021E-017</v>
      </c>
      <c r="G60" s="27" t="n">
        <f aca="false">E60*F60</f>
        <v>1.07246653631863E-017</v>
      </c>
    </row>
    <row collapsed="false" customFormat="false" customHeight="true" hidden="false" ht="12.75" outlineLevel="0" r="61">
      <c r="A61" s="27" t="n">
        <f aca="false">B61*FocalLength*PI()/180</f>
        <v>25.3072741539178</v>
      </c>
      <c r="B61" s="27" t="n">
        <v>58</v>
      </c>
      <c r="C61" s="27" t="n">
        <f aca="false">ACOS((MIN(1,(Wavelength/1000)*B61*fNumber)))</f>
        <v>0.901658457008996</v>
      </c>
      <c r="D61" s="27" t="n">
        <f aca="false">PI()*MIN(1,(PixelPitch/1000)*B61)</f>
        <v>3.14159265358979</v>
      </c>
      <c r="E61" s="27" t="n">
        <f aca="false">(2/PI())*(C61-COS(C61)*SIN(C61))</f>
        <v>0.264269859338174</v>
      </c>
      <c r="F61" s="27" t="n">
        <f aca="false">SIN(D61)/D61</f>
        <v>3.8997686524021E-017</v>
      </c>
      <c r="G61" s="27" t="n">
        <f aca="false">E61*F61</f>
        <v>1.03059131322172E-017</v>
      </c>
    </row>
    <row collapsed="false" customFormat="false" customHeight="true" hidden="false" ht="12.75" outlineLevel="0" r="62">
      <c r="A62" s="27" t="n">
        <f aca="false">B62*FocalLength*PI()/180</f>
        <v>25.7436064669164</v>
      </c>
      <c r="B62" s="27" t="n">
        <v>59</v>
      </c>
      <c r="C62" s="27" t="n">
        <f aca="false">ACOS((MIN(1,(Wavelength/1000)*B62*fNumber)))</f>
        <v>0.887948324251233</v>
      </c>
      <c r="D62" s="27" t="n">
        <f aca="false">PI()*MIN(1,(PixelPitch/1000)*B62)</f>
        <v>3.14159265358979</v>
      </c>
      <c r="E62" s="27" t="n">
        <f aca="false">(2/PI())*(C62-COS(C62)*SIN(C62))</f>
        <v>0.253647171667634</v>
      </c>
      <c r="F62" s="27" t="n">
        <f aca="false">SIN(D62)/D62</f>
        <v>3.8997686524021E-017</v>
      </c>
      <c r="G62" s="27" t="n">
        <f aca="false">E62*F62</f>
        <v>9.89165288839891E-018</v>
      </c>
    </row>
    <row collapsed="false" customFormat="false" customHeight="true" hidden="false" ht="12.75" outlineLevel="0" r="63">
      <c r="A63" s="27" t="n">
        <f aca="false">B63*FocalLength*PI()/180</f>
        <v>26.1799387799149</v>
      </c>
      <c r="B63" s="27" t="n">
        <v>60</v>
      </c>
      <c r="C63" s="27" t="n">
        <f aca="false">ACOS((MIN(1,(Wavelength/1000)*B63*fNumber)))</f>
        <v>0.874083555381132</v>
      </c>
      <c r="D63" s="27" t="n">
        <f aca="false">PI()*MIN(1,(PixelPitch/1000)*B63)</f>
        <v>3.14159265358979</v>
      </c>
      <c r="E63" s="27" t="n">
        <f aca="false">(2/PI())*(C63-COS(C63)*SIN(C63))</f>
        <v>0.243142951955563</v>
      </c>
      <c r="F63" s="27" t="n">
        <f aca="false">SIN(D63)/D63</f>
        <v>3.8997686524021E-017</v>
      </c>
      <c r="G63" s="27" t="n">
        <f aca="false">E63*F63</f>
        <v>9.48201262088813E-018</v>
      </c>
    </row>
    <row collapsed="false" customFormat="false" customHeight="true" hidden="false" ht="12.75" outlineLevel="0" r="64">
      <c r="A64" s="27" t="n">
        <f aca="false">B64*FocalLength*PI()/180</f>
        <v>26.6162710929135</v>
      </c>
      <c r="B64" s="27" t="n">
        <v>61</v>
      </c>
      <c r="C64" s="27" t="n">
        <f aca="false">ACOS((MIN(1,(Wavelength/1000)*B64*fNumber)))</f>
        <v>0.860056036889168</v>
      </c>
      <c r="D64" s="27" t="n">
        <f aca="false">PI()*MIN(1,(PixelPitch/1000)*B64)</f>
        <v>3.14159265358979</v>
      </c>
      <c r="E64" s="27" t="n">
        <f aca="false">(2/PI())*(C64-COS(C64)*SIN(C64))</f>
        <v>0.232760594532891</v>
      </c>
      <c r="F64" s="27" t="n">
        <f aca="false">SIN(D64)/D64</f>
        <v>3.8997686524021E-017</v>
      </c>
      <c r="G64" s="27" t="n">
        <f aca="false">E64*F64</f>
        <v>9.07712470073843E-018</v>
      </c>
    </row>
    <row collapsed="false" customFormat="false" customHeight="true" hidden="false" ht="12.75" outlineLevel="0" r="65">
      <c r="A65" s="27" t="n">
        <f aca="false">B65*FocalLength*PI()/180</f>
        <v>27.0526034059121</v>
      </c>
      <c r="B65" s="27" t="n">
        <v>62</v>
      </c>
      <c r="C65" s="27" t="n">
        <f aca="false">ACOS((MIN(1,(Wavelength/1000)*B65*fNumber)))</f>
        <v>0.845857036850217</v>
      </c>
      <c r="D65" s="27" t="n">
        <f aca="false">PI()*MIN(1,(PixelPitch/1000)*B65)</f>
        <v>3.14159265358979</v>
      </c>
      <c r="E65" s="27" t="n">
        <f aca="false">(2/PI())*(C65-COS(C65)*SIN(C65))</f>
        <v>0.22250361473228</v>
      </c>
      <c r="F65" s="27" t="n">
        <f aca="false">SIN(D65)/D65</f>
        <v>3.8997686524021E-017</v>
      </c>
      <c r="G65" s="27" t="n">
        <f aca="false">E65*F65</f>
        <v>8.67712621779099E-018</v>
      </c>
    </row>
    <row collapsed="false" customFormat="false" customHeight="true" hidden="false" ht="12.75" outlineLevel="0" r="66">
      <c r="A66" s="27" t="n">
        <f aca="false">B66*FocalLength*PI()/180</f>
        <v>27.4889357189107</v>
      </c>
      <c r="B66" s="27" t="n">
        <v>63</v>
      </c>
      <c r="C66" s="27" t="n">
        <f aca="false">ACOS((MIN(1,(Wavelength/1000)*B66*fNumber)))</f>
        <v>0.831477134928051</v>
      </c>
      <c r="D66" s="27" t="n">
        <f aca="false">PI()*MIN(1,(PixelPitch/1000)*B66)</f>
        <v>3.14159265358979</v>
      </c>
      <c r="E66" s="27" t="n">
        <f aca="false">(2/PI())*(C66-COS(C66)*SIN(C66))</f>
        <v>0.212375658460215</v>
      </c>
      <c r="F66" s="27" t="n">
        <f aca="false">SIN(D66)/D66</f>
        <v>3.8997686524021E-017</v>
      </c>
      <c r="G66" s="27" t="n">
        <f aca="false">E66*F66</f>
        <v>8.28215935396401E-018</v>
      </c>
    </row>
    <row collapsed="false" customFormat="false" customHeight="true" hidden="false" ht="12.75" outlineLevel="0" r="67">
      <c r="A67" s="27" t="n">
        <f aca="false">B67*FocalLength*PI()/180</f>
        <v>27.9252680319093</v>
      </c>
      <c r="B67" s="27" t="n">
        <v>64</v>
      </c>
      <c r="C67" s="27" t="n">
        <f aca="false">ACOS((MIN(1,(Wavelength/1000)*B67*fNumber)))</f>
        <v>0.816906141944886</v>
      </c>
      <c r="D67" s="27" t="n">
        <f aca="false">PI()*MIN(1,(PixelPitch/1000)*B67)</f>
        <v>3.14159265358979</v>
      </c>
      <c r="E67" s="27" t="n">
        <f aca="false">(2/PI())*(C67-COS(C67)*SIN(C67))</f>
        <v>0.202380512838255</v>
      </c>
      <c r="F67" s="27" t="n">
        <f aca="false">SIN(D67)/D67</f>
        <v>3.8997686524021E-017</v>
      </c>
      <c r="G67" s="27" t="n">
        <f aca="false">E67*F67</f>
        <v>7.89237179823686E-018</v>
      </c>
    </row>
    <row collapsed="false" customFormat="false" customHeight="true" hidden="false" ht="12.75" outlineLevel="0" r="68">
      <c r="A68" s="27" t="n">
        <f aca="false">B68*FocalLength*PI()/180</f>
        <v>28.3616003449079</v>
      </c>
      <c r="B68" s="27" t="n">
        <v>65</v>
      </c>
      <c r="C68" s="27" t="n">
        <f aca="false">ACOS((MIN(1,(Wavelength/1000)*B68*fNumber)))</f>
        <v>0.802133007048453</v>
      </c>
      <c r="D68" s="27" t="n">
        <f aca="false">PI()*MIN(1,(PixelPitch/1000)*B68)</f>
        <v>3.14159265358979</v>
      </c>
      <c r="E68" s="27" t="n">
        <f aca="false">(2/PI())*(C68-COS(C68)*SIN(C68))</f>
        <v>0.19252211807428</v>
      </c>
      <c r="F68" s="27" t="n">
        <f aca="false">SIN(D68)/D68</f>
        <v>3.8997686524021E-017</v>
      </c>
      <c r="G68" s="27" t="n">
        <f aca="false">E68*F68</f>
        <v>7.50791720960134E-018</v>
      </c>
    </row>
    <row collapsed="false" customFormat="false" customHeight="true" hidden="false" ht="12.75" outlineLevel="0" r="69">
      <c r="A69" s="27" t="n">
        <f aca="false">B69*FocalLength*PI()/180</f>
        <v>28.7979326579064</v>
      </c>
      <c r="B69" s="27" t="n">
        <v>66</v>
      </c>
      <c r="C69" s="27" t="n">
        <f aca="false">ACOS((MIN(1,(Wavelength/1000)*B69*fNumber)))</f>
        <v>0.787145710055357</v>
      </c>
      <c r="D69" s="27" t="n">
        <f aca="false">PI()*MIN(1,(PixelPitch/1000)*B69)</f>
        <v>3.14159265358979</v>
      </c>
      <c r="E69" s="27" t="n">
        <f aca="false">(2/PI())*(C69-COS(C69)*SIN(C69))</f>
        <v>0.182804580755213</v>
      </c>
      <c r="F69" s="27" t="n">
        <f aca="false">SIN(D69)/D69</f>
        <v>3.8997686524021E-017</v>
      </c>
      <c r="G69" s="27" t="n">
        <f aca="false">E69*F69</f>
        <v>7.12895573544688E-018</v>
      </c>
    </row>
    <row collapsed="false" customFormat="false" customHeight="true" hidden="false" ht="12.75" outlineLevel="0" r="70">
      <c r="A70" s="27" t="n">
        <f aca="false">B70*FocalLength*PI()/180</f>
        <v>29.234264970905</v>
      </c>
      <c r="B70" s="27" t="n">
        <v>67</v>
      </c>
      <c r="C70" s="27" t="n">
        <f aca="false">ACOS((MIN(1,(Wavelength/1000)*B70*fNumber)))</f>
        <v>0.771931135970681</v>
      </c>
      <c r="D70" s="27" t="n">
        <f aca="false">PI()*MIN(1,(PixelPitch/1000)*B70)</f>
        <v>3.14159265358979</v>
      </c>
      <c r="E70" s="27" t="n">
        <f aca="false">(2/PI())*(C70-COS(C70)*SIN(C70))</f>
        <v>0.17323218879049</v>
      </c>
      <c r="F70" s="27" t="n">
        <f aca="false">SIN(D70)/D70</f>
        <v>3.8997686524021E-017</v>
      </c>
      <c r="G70" s="27" t="n">
        <f aca="false">E70*F70</f>
        <v>6.75565459432157E-018</v>
      </c>
    </row>
    <row collapsed="false" customFormat="false" customHeight="true" hidden="false" ht="12.75" outlineLevel="0" r="71">
      <c r="A71" s="27" t="n">
        <f aca="false">B71*FocalLength*PI()/180</f>
        <v>29.6705972839036</v>
      </c>
      <c r="B71" s="27" t="n">
        <v>68</v>
      </c>
      <c r="C71" s="27" t="n">
        <f aca="false">ACOS((MIN(1,(Wavelength/1000)*B71*fNumber)))</f>
        <v>0.756474927939194</v>
      </c>
      <c r="D71" s="27" t="n">
        <f aca="false">PI()*MIN(1,(PixelPitch/1000)*B71)</f>
        <v>3.14159265358979</v>
      </c>
      <c r="E71" s="27" t="n">
        <f aca="false">(2/PI())*(C71-COS(C71)*SIN(C71))</f>
        <v>0.163809428282573</v>
      </c>
      <c r="F71" s="27" t="n">
        <f aca="false">SIN(D71)/D71</f>
        <v>3.8997686524021E-017</v>
      </c>
      <c r="G71" s="27" t="n">
        <f aca="false">E71*F71</f>
        <v>6.38818873384289E-018</v>
      </c>
    </row>
    <row collapsed="false" customFormat="false" customHeight="true" hidden="false" ht="12.75" outlineLevel="0" r="72">
      <c r="A72" s="27" t="n">
        <f aca="false">B72*FocalLength*PI()/180</f>
        <v>30.1069295969022</v>
      </c>
      <c r="B72" s="27" t="n">
        <v>69</v>
      </c>
      <c r="C72" s="27" t="n">
        <f aca="false">ACOS((MIN(1,(Wavelength/1000)*B72*fNumber)))</f>
        <v>0.740761313917333</v>
      </c>
      <c r="D72" s="27" t="n">
        <f aca="false">PI()*MIN(1,(PixelPitch/1000)*B72)</f>
        <v>3.14159265358979</v>
      </c>
      <c r="E72" s="27" t="n">
        <f aca="false">(2/PI())*(C72-COS(C72)*SIN(C72))</f>
        <v>0.154541002659591</v>
      </c>
      <c r="F72" s="27" t="n">
        <f aca="false">SIN(D72)/D72</f>
        <v>3.8997686524021E-017</v>
      </c>
      <c r="G72" s="27" t="n">
        <f aca="false">E72*F72</f>
        <v>6.02674157682662E-018</v>
      </c>
    </row>
    <row collapsed="false" customFormat="false" customHeight="true" hidden="false" ht="12.75" outlineLevel="0" r="73">
      <c r="A73" s="27" t="n">
        <f aca="false">B73*FocalLength*PI()/180</f>
        <v>30.5432619099008</v>
      </c>
      <c r="B73" s="27" t="n">
        <v>70</v>
      </c>
      <c r="C73" s="27" t="n">
        <f aca="false">ACOS((MIN(1,(Wavelength/1000)*B73*fNumber)))</f>
        <v>0.724772901089335</v>
      </c>
      <c r="D73" s="27" t="n">
        <f aca="false">PI()*MIN(1,(PixelPitch/1000)*B73)</f>
        <v>3.14159265358979</v>
      </c>
      <c r="E73" s="27" t="n">
        <f aca="false">(2/PI())*(C73-COS(C73)*SIN(C73))</f>
        <v>0.145431854479488</v>
      </c>
      <c r="F73" s="27" t="n">
        <f aca="false">SIN(D73)/D73</f>
        <v>3.8997686524021E-017</v>
      </c>
      <c r="G73" s="27" t="n">
        <f aca="false">E73*F73</f>
        <v>5.67150587159812E-018</v>
      </c>
    </row>
    <row collapsed="false" customFormat="false" customHeight="true" hidden="false" ht="12.75" outlineLevel="0" r="74">
      <c r="A74" s="27" t="n">
        <f aca="false">B74*FocalLength*PI()/180</f>
        <v>30.9795942228993</v>
      </c>
      <c r="B74" s="27" t="n">
        <v>71</v>
      </c>
      <c r="C74" s="27" t="n">
        <f aca="false">ACOS((MIN(1,(Wavelength/1000)*B74*fNumber)))</f>
        <v>0.708490430375835</v>
      </c>
      <c r="D74" s="27" t="n">
        <f aca="false">PI()*MIN(1,(PixelPitch/1000)*B74)</f>
        <v>3.14159265358979</v>
      </c>
      <c r="E74" s="27" t="n">
        <f aca="false">(2/PI())*(C74-COS(C74)*SIN(C74))</f>
        <v>0.136487190409618</v>
      </c>
      <c r="F74" s="27" t="n">
        <f aca="false">SIN(D74)/D74</f>
        <v>3.8997686524021E-017</v>
      </c>
      <c r="G74" s="27" t="n">
        <f aca="false">E74*F74</f>
        <v>5.32268466613864E-018</v>
      </c>
    </row>
    <row collapsed="false" customFormat="false" customHeight="true" hidden="false" ht="12.75" outlineLevel="0" r="75">
      <c r="A75" s="27" t="n">
        <f aca="false">B75*FocalLength*PI()/180</f>
        <v>31.4159265358979</v>
      </c>
      <c r="B75" s="27" t="n">
        <v>72</v>
      </c>
      <c r="C75" s="27" t="n">
        <f aca="false">ACOS((MIN(1,(Wavelength/1000)*B75*fNumber)))</f>
        <v>0.691892481142121</v>
      </c>
      <c r="D75" s="27" t="n">
        <f aca="false">PI()*MIN(1,(PixelPitch/1000)*B75)</f>
        <v>3.14159265358979</v>
      </c>
      <c r="E75" s="27" t="n">
        <f aca="false">(2/PI())*(C75-COS(C75)*SIN(C75))</f>
        <v>0.127712510007293</v>
      </c>
      <c r="F75" s="27" t="n">
        <f aca="false">SIN(D75)/D75</f>
        <v>3.8997686524021E-017</v>
      </c>
      <c r="G75" s="27" t="n">
        <f aca="false">E75*F75</f>
        <v>4.9804924304603E-018</v>
      </c>
    </row>
    <row collapsed="false" customFormat="false" customHeight="true" hidden="false" ht="12.75" outlineLevel="0" r="76">
      <c r="A76" s="27" t="n">
        <f aca="false">B76*FocalLength*PI()/180</f>
        <v>31.8522588488965</v>
      </c>
      <c r="B76" s="27" t="n">
        <v>73</v>
      </c>
      <c r="C76" s="27" t="n">
        <f aca="false">ACOS((MIN(1,(Wavelength/1000)*B76*fNumber)))</f>
        <v>0.674955113178907</v>
      </c>
      <c r="D76" s="27" t="n">
        <f aca="false">PI()*MIN(1,(PixelPitch/1000)*B76)</f>
        <v>3.14159265358979</v>
      </c>
      <c r="E76" s="27" t="n">
        <f aca="false">(2/PI())*(C76-COS(C76)*SIN(C76))</f>
        <v>0.119113639084725</v>
      </c>
      <c r="F76" s="27" t="n">
        <f aca="false">SIN(D76)/D76</f>
        <v>3.8997686524021E-017</v>
      </c>
      <c r="G76" s="27" t="n">
        <f aca="false">E76*F76</f>
        <v>4.6451563577615E-018</v>
      </c>
    </row>
    <row collapsed="false" customFormat="false" customHeight="true" hidden="false" ht="12.75" outlineLevel="0" r="77">
      <c r="A77" s="27" t="n">
        <f aca="false">B77*FocalLength*PI()/180</f>
        <v>32.2885911618951</v>
      </c>
      <c r="B77" s="27" t="n">
        <v>74</v>
      </c>
      <c r="C77" s="27" t="n">
        <f aca="false">ACOS((MIN(1,(Wavelength/1000)*B77*fNumber)))</f>
        <v>0.657651428867222</v>
      </c>
      <c r="D77" s="27" t="n">
        <f aca="false">PI()*MIN(1,(PixelPitch/1000)*B77)</f>
        <v>3.14159265358979</v>
      </c>
      <c r="E77" s="27" t="n">
        <f aca="false">(2/PI())*(C77-COS(C77)*SIN(C77))</f>
        <v>0.110696768649148</v>
      </c>
      <c r="F77" s="27" t="n">
        <f aca="false">SIN(D77)/D77</f>
        <v>3.8997686524021E-017</v>
      </c>
      <c r="G77" s="27" t="n">
        <f aca="false">E77*F77</f>
        <v>4.31691788300153E-018</v>
      </c>
    </row>
    <row collapsed="false" customFormat="false" customHeight="true" hidden="false" ht="12.75" outlineLevel="0" r="78">
      <c r="A78" s="27" t="n">
        <f aca="false">B78*FocalLength*PI()/180</f>
        <v>32.7249234748937</v>
      </c>
      <c r="B78" s="27" t="n">
        <v>75</v>
      </c>
      <c r="C78" s="27" t="n">
        <f aca="false">ACOS((MIN(1,(Wavelength/1000)*B78*fNumber)))</f>
        <v>0.639951032651412</v>
      </c>
      <c r="D78" s="27" t="n">
        <f aca="false">PI()*MIN(1,(PixelPitch/1000)*B78)</f>
        <v>3.14159265358979</v>
      </c>
      <c r="E78" s="27" t="n">
        <f aca="false">(2/PI())*(C78-COS(C78)*SIN(C78))</f>
        <v>0.102468500684584</v>
      </c>
      <c r="F78" s="27" t="n">
        <f aca="false">SIN(D78)/D78</f>
        <v>3.8997686524021E-017</v>
      </c>
      <c r="G78" s="27" t="n">
        <f aca="false">E78*F78</f>
        <v>3.99603446828382E-018</v>
      </c>
    </row>
    <row collapsed="false" customFormat="false" customHeight="true" hidden="false" ht="12.75" outlineLevel="0" r="79">
      <c r="A79" s="27" t="n">
        <f aca="false">B79*FocalLength*PI()/180</f>
        <v>33.1612557878923</v>
      </c>
      <c r="B79" s="27" t="n">
        <v>76</v>
      </c>
      <c r="C79" s="27" t="n">
        <f aca="false">ACOS((MIN(1,(Wavelength/1000)*B79*fNumber)))</f>
        <v>0.621819356770478</v>
      </c>
      <c r="D79" s="27" t="n">
        <f aca="false">PI()*MIN(1,(PixelPitch/1000)*B79)</f>
        <v>3.14159265358979</v>
      </c>
      <c r="E79" s="27" t="n">
        <f aca="false">(2/PI())*(C79-COS(C79)*SIN(C79))</f>
        <v>0.0944359024130725</v>
      </c>
      <c r="F79" s="27" t="n">
        <f aca="false">SIN(D79)/D79</f>
        <v>3.8997686524021E-017</v>
      </c>
      <c r="G79" s="27" t="n">
        <f aca="false">E79*F79</f>
        <v>3.68278171891804E-018</v>
      </c>
    </row>
    <row collapsed="false" customFormat="false" customHeight="true" hidden="false" ht="12.75" outlineLevel="0" r="80">
      <c r="A80" s="27" t="n">
        <f aca="false">B80*FocalLength*PI()/180</f>
        <v>33.5975881008908</v>
      </c>
      <c r="B80" s="27" t="n">
        <v>77</v>
      </c>
      <c r="C80" s="27" t="n">
        <f aca="false">ACOS((MIN(1,(Wavelength/1000)*B80*fNumber)))</f>
        <v>0.603216810457715</v>
      </c>
      <c r="D80" s="27" t="n">
        <f aca="false">PI()*MIN(1,(PixelPitch/1000)*B80)</f>
        <v>3.14159265358979</v>
      </c>
      <c r="E80" s="27" t="n">
        <f aca="false">(2/PI())*(C80-COS(C80)*SIN(C80))</f>
        <v>0.0866065711806511</v>
      </c>
      <c r="F80" s="27" t="n">
        <f aca="false">SIN(D80)/D80</f>
        <v>3.8997686524021E-017</v>
      </c>
      <c r="G80" s="27" t="n">
        <f aca="false">E80*F80</f>
        <v>3.37745591382334E-018</v>
      </c>
    </row>
    <row collapsed="false" customFormat="false" customHeight="true" hidden="false" ht="12.75" outlineLevel="0" r="81">
      <c r="A81" s="27" t="n">
        <f aca="false">B81*FocalLength*PI()/180</f>
        <v>34.0339204138894</v>
      </c>
      <c r="B81" s="27" t="n">
        <v>78</v>
      </c>
      <c r="C81" s="27" t="n">
        <f aca="false">ACOS((MIN(1,(Wavelength/1000)*B81*fNumber)))</f>
        <v>0.584097692638902</v>
      </c>
      <c r="D81" s="27" t="n">
        <f aca="false">PI()*MIN(1,(PixelPitch/1000)*B81)</f>
        <v>3.14159265358979</v>
      </c>
      <c r="E81" s="27" t="n">
        <f aca="false">(2/PI())*(C81-COS(C81)*SIN(C81))</f>
        <v>0.0789887128183012</v>
      </c>
      <c r="F81" s="27" t="n">
        <f aca="false">SIN(D81)/D81</f>
        <v>3.8997686524021E-017</v>
      </c>
      <c r="G81" s="27" t="n">
        <f aca="false">E81*F81</f>
        <v>3.08037706142403E-018</v>
      </c>
    </row>
    <row collapsed="false" customFormat="false" customHeight="true" hidden="false" ht="12.75" outlineLevel="0" r="82">
      <c r="A82" s="27" t="n">
        <f aca="false">B82*FocalLength*PI()/180</f>
        <v>34.470252726888</v>
      </c>
      <c r="B82" s="27" t="n">
        <v>79</v>
      </c>
      <c r="C82" s="27" t="n">
        <f aca="false">ACOS((MIN(1,(Wavelength/1000)*B82*fNumber)))</f>
        <v>0.564408782494687</v>
      </c>
      <c r="D82" s="27" t="n">
        <f aca="false">PI()*MIN(1,(PixelPitch/1000)*B82)</f>
        <v>3.14159265358979</v>
      </c>
      <c r="E82" s="27" t="n">
        <f aca="false">(2/PI())*(C82-COS(C82)*SIN(C82))</f>
        <v>0.0715912373246564</v>
      </c>
      <c r="F82" s="27" t="n">
        <f aca="false">SIN(D82)/D82</f>
        <v>3.8997686524021E-017</v>
      </c>
      <c r="G82" s="27" t="n">
        <f aca="false">E82*F82</f>
        <v>2.79189263105374E-018</v>
      </c>
    </row>
    <row collapsed="false" customFormat="false" customHeight="true" hidden="false" ht="12.75" outlineLevel="0" r="83">
      <c r="A83" s="27" t="n">
        <f aca="false">B83*FocalLength*PI()/180</f>
        <v>34.9065850398866</v>
      </c>
      <c r="B83" s="27" t="n">
        <v>80</v>
      </c>
      <c r="C83" s="27" t="n">
        <f aca="false">ACOS((MIN(1,(Wavelength/1000)*B83*fNumber)))</f>
        <v>0.544087483016979</v>
      </c>
      <c r="D83" s="27" t="n">
        <f aca="false">PI()*MIN(1,(PixelPitch/1000)*B83)</f>
        <v>3.14159265358979</v>
      </c>
      <c r="E83" s="27" t="n">
        <f aca="false">(2/PI())*(C83-COS(C83)*SIN(C83))</f>
        <v>0.0644238771546106</v>
      </c>
      <c r="F83" s="27" t="n">
        <f aca="false">SIN(D83)/D83</f>
        <v>3.8997686524021E-017</v>
      </c>
      <c r="G83" s="27" t="n">
        <f aca="false">E83*F83</f>
        <v>2.51238216593754E-018</v>
      </c>
    </row>
    <row collapsed="false" customFormat="false" customHeight="true" hidden="false" ht="12.75" outlineLevel="0" r="84">
      <c r="A84" s="27" t="n">
        <f aca="false">B84*FocalLength*PI()/180</f>
        <v>35.3429173528852</v>
      </c>
      <c r="B84" s="27" t="n">
        <v>81</v>
      </c>
      <c r="C84" s="27" t="n">
        <f aca="false">ACOS((MIN(1,(Wavelength/1000)*B84*fNumber)))</f>
        <v>0.523059331127335</v>
      </c>
      <c r="D84" s="27" t="n">
        <f aca="false">PI()*MIN(1,(PixelPitch/1000)*B84)</f>
        <v>3.14159265358979</v>
      </c>
      <c r="E84" s="27" t="n">
        <f aca="false">(2/PI())*(C84-COS(C84)*SIN(C84))</f>
        <v>0.0574973355178492</v>
      </c>
      <c r="F84" s="27" t="n">
        <f aca="false">SIN(D84)/D84</f>
        <v>3.8997686524021E-017</v>
      </c>
      <c r="G84" s="27" t="n">
        <f aca="false">E84*F84</f>
        <v>2.24226306649154E-018</v>
      </c>
    </row>
    <row collapsed="false" customFormat="false" customHeight="true" hidden="false" ht="12.75" outlineLevel="0" r="85">
      <c r="A85" s="27" t="n">
        <f aca="false">B85*FocalLength*PI()/180</f>
        <v>35.7792496658838</v>
      </c>
      <c r="B85" s="27" t="n">
        <v>82</v>
      </c>
      <c r="C85" s="27" t="n">
        <f aca="false">ACOS((MIN(1,(Wavelength/1000)*B85*fNumber)))</f>
        <v>0.501234588447422</v>
      </c>
      <c r="D85" s="27" t="n">
        <f aca="false">PI()*MIN(1,(PixelPitch/1000)*B85)</f>
        <v>3.14159265358979</v>
      </c>
      <c r="E85" s="27" t="n">
        <f aca="false">(2/PI())*(C85-COS(C85)*SIN(C85))</f>
        <v>0.0508234752979933</v>
      </c>
      <c r="F85" s="27" t="n">
        <f aca="false">SIN(D85)/D85</f>
        <v>3.8997686524021E-017</v>
      </c>
      <c r="G85" s="27" t="n">
        <f aca="false">E85*F85</f>
        <v>1.98199795773247E-018</v>
      </c>
    </row>
    <row collapsed="false" customFormat="false" customHeight="true" hidden="false" ht="12.75" outlineLevel="0" r="86">
      <c r="A86" s="27" t="n">
        <f aca="false">B86*FocalLength*PI()/180</f>
        <v>36.2155819788823</v>
      </c>
      <c r="B86" s="27" t="n">
        <v>83</v>
      </c>
      <c r="C86" s="27" t="n">
        <f aca="false">ACOS((MIN(1,(Wavelength/1000)*B86*fNumber)))</f>
        <v>0.478503460559849</v>
      </c>
      <c r="D86" s="27" t="n">
        <f aca="false">PI()*MIN(1,(PixelPitch/1000)*B86)</f>
        <v>3.14159265358979</v>
      </c>
      <c r="E86" s="27" t="n">
        <f aca="false">(2/PI())*(C86-COS(C86)*SIN(C86))</f>
        <v>0.044415564195999</v>
      </c>
      <c r="F86" s="27" t="n">
        <f aca="false">SIN(D86)/D86</f>
        <v>3.8997686524021E-017</v>
      </c>
      <c r="G86" s="27" t="n">
        <f aca="false">E86*F86</f>
        <v>1.7321042493031E-018</v>
      </c>
    </row>
    <row collapsed="false" customFormat="false" customHeight="true" hidden="false" ht="12.75" outlineLevel="0" r="87">
      <c r="A87" s="27" t="n">
        <f aca="false">B87*FocalLength*PI()/180</f>
        <v>36.6519142918809</v>
      </c>
      <c r="B87" s="27" t="n">
        <v>84</v>
      </c>
      <c r="C87" s="27" t="n">
        <f aca="false">ACOS((MIN(1,(Wavelength/1000)*B87*fNumber)))</f>
        <v>0.454729203724244</v>
      </c>
      <c r="D87" s="27" t="n">
        <f aca="false">PI()*MIN(1,(PixelPitch/1000)*B87)</f>
        <v>3.14159265358979</v>
      </c>
      <c r="E87" s="27" t="n">
        <f aca="false">(2/PI())*(C87-COS(C87)*SIN(C87))</f>
        <v>0.0382885997396525</v>
      </c>
      <c r="F87" s="27" t="n">
        <f aca="false">SIN(D87)/D87</f>
        <v>3.8997686524021E-017</v>
      </c>
      <c r="G87" s="27" t="n">
        <f aca="false">E87*F87</f>
        <v>1.49316681009068E-018</v>
      </c>
    </row>
    <row collapsed="false" customFormat="false" customHeight="true" hidden="false" ht="12.75" outlineLevel="0" r="88">
      <c r="A88" s="27" t="n">
        <f aca="false">B88*FocalLength*PI()/180</f>
        <v>37.0882466048795</v>
      </c>
      <c r="B88" s="27" t="n">
        <v>85</v>
      </c>
      <c r="C88" s="27" t="n">
        <f aca="false">ACOS((MIN(1,(Wavelength/1000)*B88*fNumber)))</f>
        <v>0.429737852691185</v>
      </c>
      <c r="D88" s="27" t="n">
        <f aca="false">PI()*MIN(1,(PixelPitch/1000)*B88)</f>
        <v>3.14159265358979</v>
      </c>
      <c r="E88" s="27" t="n">
        <f aca="false">(2/PI())*(C88-COS(C88)*SIN(C88))</f>
        <v>0.0324597512562656</v>
      </c>
      <c r="F88" s="27" t="n">
        <f aca="false">SIN(D88)/D88</f>
        <v>3.8997686524021E-017</v>
      </c>
      <c r="G88" s="27" t="n">
        <f aca="false">E88*F88</f>
        <v>1.26585520413954E-018</v>
      </c>
    </row>
    <row collapsed="false" customFormat="false" customHeight="true" hidden="false" ht="12.75" outlineLevel="0" r="89">
      <c r="A89" s="27" t="n">
        <f aca="false">B89*FocalLength*PI()/180</f>
        <v>37.5245789178781</v>
      </c>
      <c r="B89" s="27" t="n">
        <v>86</v>
      </c>
      <c r="C89" s="27" t="n">
        <f aca="false">ACOS((MIN(1,(Wavelength/1000)*B89*fNumber)))</f>
        <v>0.403302294859427</v>
      </c>
      <c r="D89" s="27" t="n">
        <f aca="false">PI()*MIN(1,(PixelPitch/1000)*B89)</f>
        <v>3.14159265358979</v>
      </c>
      <c r="E89" s="27" t="n">
        <f aca="false">(2/PI())*(C89-COS(C89)*SIN(C89))</f>
        <v>0.0269489794937596</v>
      </c>
      <c r="F89" s="27" t="n">
        <f aca="false">SIN(D89)/D89</f>
        <v>3.8997686524021E-017</v>
      </c>
      <c r="G89" s="27" t="n">
        <f aca="false">E89*F89</f>
        <v>1.05094785443991E-018</v>
      </c>
    </row>
    <row collapsed="false" customFormat="false" customHeight="true" hidden="false" ht="12.75" outlineLevel="0" r="90">
      <c r="A90" s="27" t="n">
        <f aca="false">B90*FocalLength*PI()/180</f>
        <v>37.9609112308767</v>
      </c>
      <c r="B90" s="27" t="n">
        <v>87</v>
      </c>
      <c r="C90" s="27" t="n">
        <f aca="false">ACOS((MIN(1,(Wavelength/1000)*B90*fNumber)))</f>
        <v>0.37511634946875</v>
      </c>
      <c r="D90" s="27" t="n">
        <f aca="false">PI()*MIN(1,(PixelPitch/1000)*B90)</f>
        <v>3.14159265358979</v>
      </c>
      <c r="E90" s="27" t="n">
        <f aca="false">(2/PI())*(C90-COS(C90)*SIN(C90))</f>
        <v>0.021779938296618</v>
      </c>
      <c r="F90" s="27" t="n">
        <f aca="false">SIN(D90)/D90</f>
        <v>3.8997686524021E-017</v>
      </c>
      <c r="G90" s="27" t="n">
        <f aca="false">E90*F90</f>
        <v>8.49367206204027E-019</v>
      </c>
    </row>
    <row collapsed="false" customFormat="false" customHeight="true" hidden="false" ht="12.75" outlineLevel="0" r="91">
      <c r="A91" s="27" t="n">
        <f aca="false">B91*FocalLength*PI()/180</f>
        <v>38.3972435438752</v>
      </c>
      <c r="B91" s="27" t="n">
        <v>88</v>
      </c>
      <c r="C91" s="27" t="n">
        <f aca="false">ACOS((MIN(1,(Wavelength/1000)*B91*fNumber)))</f>
        <v>0.344749918234251</v>
      </c>
      <c r="D91" s="27" t="n">
        <f aca="false">PI()*MIN(1,(PixelPitch/1000)*B91)</f>
        <v>3.14159265358979</v>
      </c>
      <c r="E91" s="27" t="n">
        <f aca="false">(2/PI())*(C91-COS(C91)*SIN(C91))</f>
        <v>0.0169813495454949</v>
      </c>
      <c r="F91" s="27" t="n">
        <f aca="false">SIN(D91)/D91</f>
        <v>3.8997686524021E-017</v>
      </c>
      <c r="G91" s="27" t="n">
        <f aca="false">E91*F91</f>
        <v>6.62233346330035E-019</v>
      </c>
    </row>
    <row collapsed="false" customFormat="false" customHeight="true" hidden="false" ht="12.75" outlineLevel="0" r="92">
      <c r="A92" s="27" t="n">
        <f aca="false">B92*FocalLength*PI()/180</f>
        <v>38.8335758568738</v>
      </c>
      <c r="B92" s="27" t="n">
        <v>89</v>
      </c>
      <c r="C92" s="27" t="n">
        <f aca="false">ACOS((MIN(1,(Wavelength/1000)*B92*fNumber)))</f>
        <v>0.31156495783771</v>
      </c>
      <c r="D92" s="27" t="n">
        <f aca="false">PI()*MIN(1,(PixelPitch/1000)*B92)</f>
        <v>3.14159265358979</v>
      </c>
      <c r="E92" s="27" t="n">
        <f aca="false">(2/PI())*(C92-COS(C92)*SIN(C92))</f>
        <v>0.0125892306020947</v>
      </c>
      <c r="F92" s="27" t="n">
        <f aca="false">SIN(D92)/D92</f>
        <v>3.8997686524021E-017</v>
      </c>
      <c r="G92" s="27" t="n">
        <f aca="false">E92*F92</f>
        <v>4.90950868599101E-019</v>
      </c>
    </row>
    <row collapsed="false" customFormat="false" customHeight="true" hidden="false" ht="12.75" outlineLevel="0" r="93">
      <c r="A93" s="27" t="n">
        <f aca="false">B93*FocalLength*PI()/180</f>
        <v>39.2699081698724</v>
      </c>
      <c r="B93" s="27" t="n">
        <v>90</v>
      </c>
      <c r="C93" s="27" t="n">
        <f aca="false">ACOS((MIN(1,(Wavelength/1000)*B93*fNumber)))</f>
        <v>0.274540027259807</v>
      </c>
      <c r="D93" s="27" t="n">
        <f aca="false">PI()*MIN(1,(PixelPitch/1000)*B93)</f>
        <v>3.14159265358979</v>
      </c>
      <c r="E93" s="27" t="n">
        <f aca="false">(2/PI())*(C93-COS(C93)*SIN(C93))</f>
        <v>0.00865081050634255</v>
      </c>
      <c r="F93" s="27" t="n">
        <f aca="false">SIN(D93)/D93</f>
        <v>3.8997686524021E-017</v>
      </c>
      <c r="G93" s="27" t="n">
        <f aca="false">E93*F93</f>
        <v>3.37361596305054E-019</v>
      </c>
    </row>
    <row collapsed="false" customFormat="false" customHeight="true" hidden="false" ht="12.75" outlineLevel="0" r="94">
      <c r="A94" s="27" t="n">
        <f aca="false">B94*FocalLength*PI()/180</f>
        <v>39.706240482871</v>
      </c>
      <c r="B94" s="27" t="n">
        <v>91</v>
      </c>
      <c r="C94" s="27" t="n">
        <f aca="false">ACOS((MIN(1,(Wavelength/1000)*B94*fNumber)))</f>
        <v>0.231841168027306</v>
      </c>
      <c r="D94" s="27" t="n">
        <f aca="false">PI()*MIN(1,(PixelPitch/1000)*B94)</f>
        <v>3.14159265358979</v>
      </c>
      <c r="E94" s="27" t="n">
        <f aca="false">(2/PI())*(C94-COS(C94)*SIN(C94))</f>
        <v>0.00523227605092369</v>
      </c>
      <c r="F94" s="27" t="n">
        <f aca="false">SIN(D94)/D94</f>
        <v>3.8997686524021E-017</v>
      </c>
      <c r="G94" s="27" t="n">
        <f aca="false">E94*F94</f>
        <v>2.04046661241064E-019</v>
      </c>
    </row>
    <row collapsed="false" customFormat="false" customHeight="true" hidden="false" ht="12.75" outlineLevel="0" r="95">
      <c r="A95" s="27" t="n">
        <f aca="false">B95*FocalLength*PI()/180</f>
        <v>40.1425727958696</v>
      </c>
      <c r="B95" s="27" t="n">
        <v>92</v>
      </c>
      <c r="C95" s="27" t="n">
        <f aca="false">ACOS((MIN(1,(Wavelength/1000)*B95*fNumber)))</f>
        <v>0.179461262241252</v>
      </c>
      <c r="D95" s="27" t="n">
        <f aca="false">PI()*MIN(1,(PixelPitch/1000)*B95)</f>
        <v>3.14159265358979</v>
      </c>
      <c r="E95" s="27" t="n">
        <f aca="false">(2/PI())*(C95-COS(C95)*SIN(C95))</f>
        <v>0.00243726741751257</v>
      </c>
      <c r="F95" s="27" t="n">
        <f aca="false">SIN(D95)/D95</f>
        <v>3.8997686524021E-017</v>
      </c>
      <c r="G95" s="27" t="n">
        <f aca="false">E95*F95</f>
        <v>9.50477907233652E-020</v>
      </c>
    </row>
    <row collapsed="false" customFormat="false" customHeight="true" hidden="false" ht="12.75" outlineLevel="0" r="96">
      <c r="A96" s="27" t="n">
        <f aca="false">B96*FocalLength*PI()/180</f>
        <v>40.5789051088682</v>
      </c>
      <c r="B96" s="27" t="n">
        <v>93</v>
      </c>
      <c r="C96" s="27" t="n">
        <f aca="false">ACOS((MIN(1,(Wavelength/1000)*B96*fNumber)))</f>
        <v>0.103632080739747</v>
      </c>
      <c r="D96" s="27" t="n">
        <f aca="false">PI()*MIN(1,(PixelPitch/1000)*B96)</f>
        <v>3.14159265358979</v>
      </c>
      <c r="E96" s="27" t="n">
        <f aca="false">(2/PI())*(C96-COS(C96)*SIN(C96))</f>
        <v>0.000471344712909374</v>
      </c>
      <c r="F96" s="27" t="n">
        <f aca="false">SIN(D96)/D96</f>
        <v>3.8997686524021E-017</v>
      </c>
      <c r="G96" s="27" t="n">
        <f aca="false">E96*F96</f>
        <v>1.83813533587944E-020</v>
      </c>
    </row>
    <row collapsed="false" customFormat="false" customHeight="true" hidden="false" ht="12.75" outlineLevel="0" r="97">
      <c r="A97" s="27" t="n">
        <f aca="false">B97*FocalLength*PI()/180</f>
        <v>41.0152374218667</v>
      </c>
      <c r="B97" s="27" t="n">
        <v>94</v>
      </c>
      <c r="C97" s="27" t="n">
        <f aca="false">ACOS((MIN(1,(Wavelength/1000)*B97*fNumber)))</f>
        <v>0</v>
      </c>
      <c r="D97" s="27" t="n">
        <f aca="false">PI()*MIN(1,(PixelPitch/1000)*B97)</f>
        <v>3.14159265358979</v>
      </c>
      <c r="E97" s="27" t="n">
        <f aca="false">(2/PI())*(C97-COS(C97)*SIN(C97))</f>
        <v>0</v>
      </c>
      <c r="F97" s="27" t="n">
        <f aca="false">SIN(D97)/D97</f>
        <v>3.8997686524021E-017</v>
      </c>
      <c r="G97" s="27" t="n">
        <f aca="false">E97*F97</f>
        <v>0</v>
      </c>
    </row>
    <row collapsed="false" customFormat="false" customHeight="true" hidden="false" ht="12.75" outlineLevel="0" r="98">
      <c r="A98" s="27" t="n">
        <f aca="false">B98*FocalLength*PI()/180</f>
        <v>41.4515697348653</v>
      </c>
      <c r="B98" s="27" t="n">
        <v>95</v>
      </c>
      <c r="C98" s="27" t="n">
        <f aca="false">ACOS((MIN(1,(Wavelength/1000)*B98*fNumber)))</f>
        <v>0</v>
      </c>
      <c r="D98" s="27" t="n">
        <f aca="false">PI()*MIN(1,(PixelPitch/1000)*B98)</f>
        <v>3.14159265358979</v>
      </c>
      <c r="E98" s="27" t="n">
        <f aca="false">(2/PI())*(C98-COS(C98)*SIN(C98))</f>
        <v>0</v>
      </c>
      <c r="F98" s="27" t="n">
        <f aca="false">SIN(D98)/D98</f>
        <v>3.8997686524021E-017</v>
      </c>
      <c r="G98" s="27" t="n">
        <f aca="false">E98*F98</f>
        <v>0</v>
      </c>
    </row>
    <row collapsed="false" customFormat="false" customHeight="true" hidden="false" ht="12.75" outlineLevel="0" r="99">
      <c r="A99" s="27" t="n">
        <f aca="false">B99*FocalLength*PI()/180</f>
        <v>41.8879020478639</v>
      </c>
      <c r="B99" s="27" t="n">
        <v>96</v>
      </c>
      <c r="C99" s="27" t="n">
        <f aca="false">ACOS((MIN(1,(Wavelength/1000)*B99*fNumber)))</f>
        <v>0</v>
      </c>
      <c r="D99" s="27" t="n">
        <f aca="false">PI()*MIN(1,(PixelPitch/1000)*B99)</f>
        <v>3.14159265358979</v>
      </c>
      <c r="E99" s="27" t="n">
        <f aca="false">(2/PI())*(C99-COS(C99)*SIN(C99))</f>
        <v>0</v>
      </c>
      <c r="F99" s="27" t="n">
        <f aca="false">SIN(D99)/D99</f>
        <v>3.8997686524021E-017</v>
      </c>
      <c r="G99" s="27" t="n">
        <f aca="false">E99*F99</f>
        <v>0</v>
      </c>
    </row>
    <row collapsed="false" customFormat="false" customHeight="true" hidden="false" ht="12.75" outlineLevel="0" r="100">
      <c r="A100" s="27" t="n">
        <f aca="false">B100*FocalLength*PI()/180</f>
        <v>42.3242343608625</v>
      </c>
      <c r="B100" s="27" t="n">
        <v>97</v>
      </c>
      <c r="C100" s="27" t="n">
        <f aca="false">ACOS((MIN(1,(Wavelength/1000)*B100*fNumber)))</f>
        <v>0</v>
      </c>
      <c r="D100" s="27" t="n">
        <f aca="false">PI()*MIN(1,(PixelPitch/1000)*B100)</f>
        <v>3.14159265358979</v>
      </c>
      <c r="E100" s="27" t="n">
        <f aca="false">(2/PI())*(C100-COS(C100)*SIN(C100))</f>
        <v>0</v>
      </c>
      <c r="F100" s="27" t="n">
        <f aca="false">SIN(D100)/D100</f>
        <v>3.8997686524021E-017</v>
      </c>
      <c r="G100" s="27" t="n">
        <f aca="false">E100*F100</f>
        <v>0</v>
      </c>
    </row>
    <row collapsed="false" customFormat="false" customHeight="true" hidden="false" ht="12.75" outlineLevel="0" r="101">
      <c r="A101" s="27" t="n">
        <f aca="false">B101*FocalLength*PI()/180</f>
        <v>42.7605666738611</v>
      </c>
      <c r="B101" s="27" t="n">
        <v>98</v>
      </c>
      <c r="C101" s="27" t="n">
        <f aca="false">ACOS((MIN(1,(Wavelength/1000)*B101*fNumber)))</f>
        <v>0</v>
      </c>
      <c r="D101" s="27" t="n">
        <f aca="false">PI()*MIN(1,(PixelPitch/1000)*B101)</f>
        <v>3.14159265358979</v>
      </c>
      <c r="E101" s="27" t="n">
        <f aca="false">(2/PI())*(C101-COS(C101)*SIN(C101))</f>
        <v>0</v>
      </c>
      <c r="F101" s="27" t="n">
        <f aca="false">SIN(D101)/D101</f>
        <v>3.8997686524021E-017</v>
      </c>
      <c r="G101" s="27" t="n">
        <f aca="false">E101*F101</f>
        <v>0</v>
      </c>
    </row>
    <row collapsed="false" customFormat="false" customHeight="true" hidden="false" ht="12.75" outlineLevel="0" r="102">
      <c r="A102" s="27" t="n">
        <f aca="false">B102*FocalLength*PI()/180</f>
        <v>43.1968989868597</v>
      </c>
      <c r="B102" s="27" t="n">
        <v>99</v>
      </c>
      <c r="C102" s="27" t="n">
        <f aca="false">ACOS((MIN(1,(Wavelength/1000)*B102*fNumber)))</f>
        <v>0</v>
      </c>
      <c r="D102" s="27" t="n">
        <f aca="false">PI()*MIN(1,(PixelPitch/1000)*B102)</f>
        <v>3.14159265358979</v>
      </c>
      <c r="E102" s="27" t="n">
        <f aca="false">(2/PI())*(C102-COS(C102)*SIN(C102))</f>
        <v>0</v>
      </c>
      <c r="F102" s="27" t="n">
        <f aca="false">SIN(D102)/D102</f>
        <v>3.8997686524021E-017</v>
      </c>
      <c r="G102" s="27" t="n">
        <f aca="false">E102*F102</f>
        <v>0</v>
      </c>
    </row>
    <row collapsed="false" customFormat="false" customHeight="true" hidden="false" ht="12.75" outlineLevel="0" r="103">
      <c r="A103" s="27" t="n">
        <f aca="false">B103*FocalLength*PI()/180</f>
        <v>43.6332312998582</v>
      </c>
      <c r="B103" s="27" t="n">
        <v>100</v>
      </c>
      <c r="C103" s="27" t="n">
        <f aca="false">ACOS((MIN(1,(Wavelength/1000)*B103*fNumber)))</f>
        <v>0</v>
      </c>
      <c r="D103" s="27" t="n">
        <f aca="false">PI()*MIN(1,(PixelPitch/1000)*B103)</f>
        <v>3.14159265358979</v>
      </c>
      <c r="E103" s="27" t="n">
        <f aca="false">(2/PI())*(C103-COS(C103)*SIN(C103))</f>
        <v>0</v>
      </c>
      <c r="F103" s="27" t="n">
        <f aca="false">SIN(D103)/D103</f>
        <v>3.8997686524021E-017</v>
      </c>
      <c r="G103" s="27" t="n">
        <f aca="false">E103*F103</f>
        <v>0</v>
      </c>
    </row>
    <row collapsed="false" customFormat="false" customHeight="true" hidden="false" ht="12.75" outlineLevel="0" r="104">
      <c r="A104" s="27" t="n">
        <f aca="false">B104*FocalLength*PI()/180</f>
        <v>44.0695636128568</v>
      </c>
      <c r="B104" s="27" t="n">
        <v>101</v>
      </c>
      <c r="C104" s="27" t="n">
        <f aca="false">ACOS((MIN(1,(Wavelength/1000)*B104*fNumber)))</f>
        <v>0</v>
      </c>
      <c r="D104" s="27" t="n">
        <f aca="false">PI()*MIN(1,(PixelPitch/1000)*B104)</f>
        <v>3.14159265358979</v>
      </c>
      <c r="E104" s="27" t="n">
        <f aca="false">(2/PI())*(C104-COS(C104)*SIN(C104))</f>
        <v>0</v>
      </c>
      <c r="F104" s="27" t="n">
        <f aca="false">SIN(D104)/D104</f>
        <v>3.8997686524021E-017</v>
      </c>
      <c r="G104" s="27" t="n">
        <f aca="false">E104*F104</f>
        <v>0</v>
      </c>
    </row>
    <row collapsed="false" customFormat="false" customHeight="true" hidden="false" ht="12.75" outlineLevel="0" r="105">
      <c r="A105" s="27" t="n">
        <f aca="false">B105*FocalLength*PI()/180</f>
        <v>44.5058959258554</v>
      </c>
      <c r="B105" s="27" t="n">
        <v>102</v>
      </c>
      <c r="C105" s="27" t="n">
        <f aca="false">ACOS((MIN(1,(Wavelength/1000)*B105*fNumber)))</f>
        <v>0</v>
      </c>
      <c r="D105" s="27" t="n">
        <f aca="false">PI()*MIN(1,(PixelPitch/1000)*B105)</f>
        <v>3.14159265358979</v>
      </c>
      <c r="E105" s="27" t="n">
        <f aca="false">(2/PI())*(C105-COS(C105)*SIN(C105))</f>
        <v>0</v>
      </c>
      <c r="F105" s="27" t="n">
        <f aca="false">SIN(D105)/D105</f>
        <v>3.8997686524021E-017</v>
      </c>
      <c r="G105" s="27" t="n">
        <f aca="false">E105*F105</f>
        <v>0</v>
      </c>
    </row>
    <row collapsed="false" customFormat="false" customHeight="true" hidden="false" ht="12.75" outlineLevel="0" r="106">
      <c r="A106" s="27" t="n">
        <f aca="false">B106*FocalLength*PI()/180</f>
        <v>44.942228238854</v>
      </c>
      <c r="B106" s="27" t="n">
        <v>103</v>
      </c>
      <c r="C106" s="27" t="n">
        <f aca="false">ACOS((MIN(1,(Wavelength/1000)*B106*fNumber)))</f>
        <v>0</v>
      </c>
      <c r="D106" s="27" t="n">
        <f aca="false">PI()*MIN(1,(PixelPitch/1000)*B106)</f>
        <v>3.14159265358979</v>
      </c>
      <c r="E106" s="27" t="n">
        <f aca="false">(2/PI())*(C106-COS(C106)*SIN(C106))</f>
        <v>0</v>
      </c>
      <c r="F106" s="27" t="n">
        <f aca="false">SIN(D106)/D106</f>
        <v>3.8997686524021E-017</v>
      </c>
      <c r="G106" s="27" t="n">
        <f aca="false">E106*F106</f>
        <v>0</v>
      </c>
    </row>
    <row collapsed="false" customFormat="false" customHeight="true" hidden="false" ht="12.75" outlineLevel="0" r="107">
      <c r="A107" s="27" t="n">
        <f aca="false">B107*FocalLength*PI()/180</f>
        <v>45.3785605518526</v>
      </c>
      <c r="B107" s="27" t="n">
        <v>104</v>
      </c>
      <c r="C107" s="27" t="n">
        <f aca="false">ACOS((MIN(1,(Wavelength/1000)*B107*fNumber)))</f>
        <v>0</v>
      </c>
      <c r="D107" s="27" t="n">
        <f aca="false">PI()*MIN(1,(PixelPitch/1000)*B107)</f>
        <v>3.14159265358979</v>
      </c>
      <c r="E107" s="27" t="n">
        <f aca="false">(2/PI())*(C107-COS(C107)*SIN(C107))</f>
        <v>0</v>
      </c>
      <c r="F107" s="27" t="n">
        <f aca="false">SIN(D107)/D107</f>
        <v>3.8997686524021E-017</v>
      </c>
      <c r="G107" s="27" t="n">
        <f aca="false">E107*F107</f>
        <v>0</v>
      </c>
    </row>
    <row collapsed="false" customFormat="false" customHeight="true" hidden="false" ht="12.75" outlineLevel="0" r="108">
      <c r="A108" s="27" t="n">
        <f aca="false">B108*FocalLength*PI()/180</f>
        <v>45.8148928648511</v>
      </c>
      <c r="B108" s="27" t="n">
        <v>105</v>
      </c>
      <c r="C108" s="27" t="n">
        <f aca="false">ACOS((MIN(1,(Wavelength/1000)*B108*fNumber)))</f>
        <v>0</v>
      </c>
      <c r="D108" s="27" t="n">
        <f aca="false">PI()*MIN(1,(PixelPitch/1000)*B108)</f>
        <v>3.14159265358979</v>
      </c>
      <c r="E108" s="27" t="n">
        <f aca="false">(2/PI())*(C108-COS(C108)*SIN(C108))</f>
        <v>0</v>
      </c>
      <c r="F108" s="27" t="n">
        <f aca="false">SIN(D108)/D108</f>
        <v>3.8997686524021E-017</v>
      </c>
      <c r="G108" s="27" t="n">
        <f aca="false">E108*F108</f>
        <v>0</v>
      </c>
    </row>
    <row collapsed="false" customFormat="false" customHeight="true" hidden="false" ht="12.75" outlineLevel="0" r="109">
      <c r="A109" s="27" t="n">
        <f aca="false">B109*FocalLength*PI()/180</f>
        <v>46.2512251778497</v>
      </c>
      <c r="B109" s="27" t="n">
        <v>106</v>
      </c>
      <c r="C109" s="27" t="n">
        <f aca="false">ACOS((MIN(1,(Wavelength/1000)*B109*fNumber)))</f>
        <v>0</v>
      </c>
      <c r="D109" s="27" t="n">
        <f aca="false">PI()*MIN(1,(PixelPitch/1000)*B109)</f>
        <v>3.14159265358979</v>
      </c>
      <c r="E109" s="27" t="n">
        <f aca="false">(2/PI())*(C109-COS(C109)*SIN(C109))</f>
        <v>0</v>
      </c>
      <c r="F109" s="27" t="n">
        <f aca="false">SIN(D109)/D109</f>
        <v>3.8997686524021E-017</v>
      </c>
      <c r="G109" s="27" t="n">
        <f aca="false">E109*F109</f>
        <v>0</v>
      </c>
    </row>
    <row collapsed="false" customFormat="false" customHeight="true" hidden="false" ht="12.75" outlineLevel="0" r="110">
      <c r="A110" s="27" t="n">
        <f aca="false">B110*FocalLength*PI()/180</f>
        <v>46.6875574908483</v>
      </c>
      <c r="B110" s="27" t="n">
        <v>107</v>
      </c>
      <c r="C110" s="27" t="n">
        <f aca="false">ACOS((MIN(1,(Wavelength/1000)*B110*fNumber)))</f>
        <v>0</v>
      </c>
      <c r="D110" s="27" t="n">
        <f aca="false">PI()*MIN(1,(PixelPitch/1000)*B110)</f>
        <v>3.14159265358979</v>
      </c>
      <c r="E110" s="27" t="n">
        <f aca="false">(2/PI())*(C110-COS(C110)*SIN(C110))</f>
        <v>0</v>
      </c>
      <c r="F110" s="27" t="n">
        <f aca="false">SIN(D110)/D110</f>
        <v>3.8997686524021E-017</v>
      </c>
      <c r="G110" s="27" t="n">
        <f aca="false">E110*F110</f>
        <v>0</v>
      </c>
    </row>
    <row collapsed="false" customFormat="false" customHeight="true" hidden="false" ht="12.75" outlineLevel="0" r="111">
      <c r="A111" s="27" t="n">
        <f aca="false">B111*FocalLength*PI()/180</f>
        <v>47.1238898038469</v>
      </c>
      <c r="B111" s="27" t="n">
        <v>108</v>
      </c>
      <c r="C111" s="27" t="n">
        <f aca="false">ACOS((MIN(1,(Wavelength/1000)*B111*fNumber)))</f>
        <v>0</v>
      </c>
      <c r="D111" s="27" t="n">
        <f aca="false">PI()*MIN(1,(PixelPitch/1000)*B111)</f>
        <v>3.14159265358979</v>
      </c>
      <c r="E111" s="27" t="n">
        <f aca="false">(2/PI())*(C111-COS(C111)*SIN(C111))</f>
        <v>0</v>
      </c>
      <c r="F111" s="27" t="n">
        <f aca="false">SIN(D111)/D111</f>
        <v>3.8997686524021E-017</v>
      </c>
      <c r="G111" s="27" t="n">
        <f aca="false">E111*F111</f>
        <v>0</v>
      </c>
    </row>
    <row collapsed="false" customFormat="false" customHeight="true" hidden="false" ht="12.75" outlineLevel="0" r="112">
      <c r="A112" s="27" t="n">
        <f aca="false">B112*FocalLength*PI()/180</f>
        <v>47.5602221168455</v>
      </c>
      <c r="B112" s="27" t="n">
        <v>109</v>
      </c>
      <c r="C112" s="27" t="n">
        <f aca="false">ACOS((MIN(1,(Wavelength/1000)*B112*fNumber)))</f>
        <v>0</v>
      </c>
      <c r="D112" s="27" t="n">
        <f aca="false">PI()*MIN(1,(PixelPitch/1000)*B112)</f>
        <v>3.14159265358979</v>
      </c>
      <c r="E112" s="27" t="n">
        <f aca="false">(2/PI())*(C112-COS(C112)*SIN(C112))</f>
        <v>0</v>
      </c>
      <c r="F112" s="27" t="n">
        <f aca="false">SIN(D112)/D112</f>
        <v>3.8997686524021E-017</v>
      </c>
      <c r="G112" s="27" t="n">
        <f aca="false">E112*F112</f>
        <v>0</v>
      </c>
    </row>
    <row collapsed="false" customFormat="false" customHeight="true" hidden="false" ht="12.75" outlineLevel="0" r="113">
      <c r="A113" s="27" t="n">
        <f aca="false">B113*FocalLength*PI()/180</f>
        <v>47.9965544298441</v>
      </c>
      <c r="B113" s="27" t="n">
        <v>110</v>
      </c>
      <c r="C113" s="27" t="n">
        <f aca="false">ACOS((MIN(1,(Wavelength/1000)*B113*fNumber)))</f>
        <v>0</v>
      </c>
      <c r="D113" s="27" t="n">
        <f aca="false">PI()*MIN(1,(PixelPitch/1000)*B113)</f>
        <v>3.14159265358979</v>
      </c>
      <c r="E113" s="27" t="n">
        <f aca="false">(2/PI())*(C113-COS(C113)*SIN(C113))</f>
        <v>0</v>
      </c>
      <c r="F113" s="27" t="n">
        <f aca="false">SIN(D113)/D113</f>
        <v>3.8997686524021E-017</v>
      </c>
      <c r="G113" s="27" t="n">
        <f aca="false">E113*F113</f>
        <v>0</v>
      </c>
    </row>
    <row collapsed="false" customFormat="false" customHeight="true" hidden="false" ht="12.75" outlineLevel="0" r="114">
      <c r="A114" s="27" t="n">
        <f aca="false">B114*FocalLength*PI()/180</f>
        <v>48.4328867428427</v>
      </c>
      <c r="B114" s="27" t="n">
        <v>111</v>
      </c>
      <c r="C114" s="27" t="n">
        <f aca="false">ACOS((MIN(1,(Wavelength/1000)*B114*fNumber)))</f>
        <v>0</v>
      </c>
      <c r="D114" s="27" t="n">
        <f aca="false">PI()*MIN(1,(PixelPitch/1000)*B114)</f>
        <v>3.14159265358979</v>
      </c>
      <c r="E114" s="27" t="n">
        <f aca="false">(2/PI())*(C114-COS(C114)*SIN(C114))</f>
        <v>0</v>
      </c>
      <c r="F114" s="27" t="n">
        <f aca="false">SIN(D114)/D114</f>
        <v>3.8997686524021E-017</v>
      </c>
      <c r="G114" s="27" t="n">
        <f aca="false">E114*F114</f>
        <v>0</v>
      </c>
    </row>
    <row collapsed="false" customFormat="false" customHeight="true" hidden="false" ht="12.75" outlineLevel="0" r="115">
      <c r="A115" s="27" t="n">
        <f aca="false">B115*FocalLength*PI()/180</f>
        <v>48.8692190558412</v>
      </c>
      <c r="B115" s="27" t="n">
        <v>112</v>
      </c>
      <c r="C115" s="27" t="n">
        <f aca="false">ACOS((MIN(1,(Wavelength/1000)*B115*fNumber)))</f>
        <v>0</v>
      </c>
      <c r="D115" s="27" t="n">
        <f aca="false">PI()*MIN(1,(PixelPitch/1000)*B115)</f>
        <v>3.14159265358979</v>
      </c>
      <c r="E115" s="27" t="n">
        <f aca="false">(2/PI())*(C115-COS(C115)*SIN(C115))</f>
        <v>0</v>
      </c>
      <c r="F115" s="27" t="n">
        <f aca="false">SIN(D115)/D115</f>
        <v>3.8997686524021E-017</v>
      </c>
      <c r="G115" s="27" t="n">
        <f aca="false">E115*F115</f>
        <v>0</v>
      </c>
    </row>
    <row collapsed="false" customFormat="false" customHeight="true" hidden="false" ht="12.75" outlineLevel="0" r="116">
      <c r="A116" s="27" t="n">
        <f aca="false">B116*FocalLength*PI()/180</f>
        <v>49.3055513688398</v>
      </c>
      <c r="B116" s="27" t="n">
        <v>113</v>
      </c>
      <c r="C116" s="27" t="n">
        <f aca="false">ACOS((MIN(1,(Wavelength/1000)*B116*fNumber)))</f>
        <v>0</v>
      </c>
      <c r="D116" s="27" t="n">
        <f aca="false">PI()*MIN(1,(PixelPitch/1000)*B116)</f>
        <v>3.14159265358979</v>
      </c>
      <c r="E116" s="27" t="n">
        <f aca="false">(2/PI())*(C116-COS(C116)*SIN(C116))</f>
        <v>0</v>
      </c>
      <c r="F116" s="27" t="n">
        <f aca="false">SIN(D116)/D116</f>
        <v>3.8997686524021E-017</v>
      </c>
      <c r="G116" s="27" t="n">
        <f aca="false">E116*F116</f>
        <v>0</v>
      </c>
    </row>
    <row collapsed="false" customFormat="false" customHeight="true" hidden="false" ht="12.75" outlineLevel="0" r="117">
      <c r="A117" s="27" t="n">
        <f aca="false">B117*FocalLength*PI()/180</f>
        <v>49.7418836818384</v>
      </c>
      <c r="B117" s="27" t="n">
        <v>114</v>
      </c>
      <c r="C117" s="27" t="n">
        <f aca="false">ACOS((MIN(1,(Wavelength/1000)*B117*fNumber)))</f>
        <v>0</v>
      </c>
      <c r="D117" s="27" t="n">
        <f aca="false">PI()*MIN(1,(PixelPitch/1000)*B117)</f>
        <v>3.14159265358979</v>
      </c>
      <c r="E117" s="27" t="n">
        <f aca="false">(2/PI())*(C117-COS(C117)*SIN(C117))</f>
        <v>0</v>
      </c>
      <c r="F117" s="27" t="n">
        <f aca="false">SIN(D117)/D117</f>
        <v>3.8997686524021E-017</v>
      </c>
      <c r="G117" s="27" t="n">
        <f aca="false">E117*F117</f>
        <v>0</v>
      </c>
    </row>
    <row collapsed="false" customFormat="false" customHeight="true" hidden="false" ht="12.75" outlineLevel="0" r="118">
      <c r="A118" s="27" t="n">
        <f aca="false">B118*FocalLength*PI()/180</f>
        <v>50.178215994837</v>
      </c>
      <c r="B118" s="27" t="n">
        <v>115</v>
      </c>
      <c r="C118" s="27" t="n">
        <f aca="false">ACOS((MIN(1,(Wavelength/1000)*B118*fNumber)))</f>
        <v>0</v>
      </c>
      <c r="D118" s="27" t="n">
        <f aca="false">PI()*MIN(1,(PixelPitch/1000)*B118)</f>
        <v>3.14159265358979</v>
      </c>
      <c r="E118" s="27" t="n">
        <f aca="false">(2/PI())*(C118-COS(C118)*SIN(C118))</f>
        <v>0</v>
      </c>
      <c r="F118" s="27" t="n">
        <f aca="false">SIN(D118)/D118</f>
        <v>3.8997686524021E-017</v>
      </c>
      <c r="G118" s="27" t="n">
        <f aca="false">E118*F118</f>
        <v>0</v>
      </c>
    </row>
    <row collapsed="false" customFormat="false" customHeight="true" hidden="false" ht="12.75" outlineLevel="0" r="119">
      <c r="A119" s="27" t="n">
        <f aca="false">B119*FocalLength*PI()/180</f>
        <v>50.6145483078356</v>
      </c>
      <c r="B119" s="27" t="n">
        <v>116</v>
      </c>
      <c r="C119" s="27" t="n">
        <f aca="false">ACOS((MIN(1,(Wavelength/1000)*B119*fNumber)))</f>
        <v>0</v>
      </c>
      <c r="D119" s="27" t="n">
        <f aca="false">PI()*MIN(1,(PixelPitch/1000)*B119)</f>
        <v>3.14159265358979</v>
      </c>
      <c r="E119" s="27" t="n">
        <f aca="false">(2/PI())*(C119-COS(C119)*SIN(C119))</f>
        <v>0</v>
      </c>
      <c r="F119" s="27" t="n">
        <f aca="false">SIN(D119)/D119</f>
        <v>3.8997686524021E-017</v>
      </c>
      <c r="G119" s="27" t="n">
        <f aca="false">E119*F119</f>
        <v>0</v>
      </c>
    </row>
    <row collapsed="false" customFormat="false" customHeight="true" hidden="false" ht="12.75" outlineLevel="0" r="120">
      <c r="A120" s="27" t="n">
        <f aca="false">B120*FocalLength*PI()/180</f>
        <v>51.0508806208341</v>
      </c>
      <c r="B120" s="27" t="n">
        <v>117</v>
      </c>
      <c r="C120" s="27" t="n">
        <f aca="false">ACOS((MIN(1,(Wavelength/1000)*B120*fNumber)))</f>
        <v>0</v>
      </c>
      <c r="D120" s="27" t="n">
        <f aca="false">PI()*MIN(1,(PixelPitch/1000)*B120)</f>
        <v>3.14159265358979</v>
      </c>
      <c r="E120" s="27" t="n">
        <f aca="false">(2/PI())*(C120-COS(C120)*SIN(C120))</f>
        <v>0</v>
      </c>
      <c r="F120" s="27" t="n">
        <f aca="false">SIN(D120)/D120</f>
        <v>3.8997686524021E-017</v>
      </c>
      <c r="G120" s="27" t="n">
        <f aca="false">E120*F120</f>
        <v>0</v>
      </c>
    </row>
    <row collapsed="false" customFormat="false" customHeight="true" hidden="false" ht="12.75" outlineLevel="0" r="121">
      <c r="A121" s="27" t="n">
        <f aca="false">B121*FocalLength*PI()/180</f>
        <v>51.4872129338327</v>
      </c>
      <c r="B121" s="27" t="n">
        <v>118</v>
      </c>
      <c r="C121" s="27" t="n">
        <f aca="false">ACOS((MIN(1,(Wavelength/1000)*B121*fNumber)))</f>
        <v>0</v>
      </c>
      <c r="D121" s="27" t="n">
        <f aca="false">PI()*MIN(1,(PixelPitch/1000)*B121)</f>
        <v>3.14159265358979</v>
      </c>
      <c r="E121" s="27" t="n">
        <f aca="false">(2/PI())*(C121-COS(C121)*SIN(C121))</f>
        <v>0</v>
      </c>
      <c r="F121" s="27" t="n">
        <f aca="false">SIN(D121)/D121</f>
        <v>3.8997686524021E-017</v>
      </c>
      <c r="G121" s="27" t="n">
        <f aca="false">E121*F121</f>
        <v>0</v>
      </c>
    </row>
    <row collapsed="false" customFormat="false" customHeight="true" hidden="false" ht="12.75" outlineLevel="0" r="122">
      <c r="A122" s="27" t="n">
        <f aca="false">B122*FocalLength*PI()/180</f>
        <v>51.9235452468313</v>
      </c>
      <c r="B122" s="27" t="n">
        <v>119</v>
      </c>
      <c r="C122" s="27" t="n">
        <f aca="false">ACOS((MIN(1,(Wavelength/1000)*B122*fNumber)))</f>
        <v>0</v>
      </c>
      <c r="D122" s="27" t="n">
        <f aca="false">PI()*MIN(1,(PixelPitch/1000)*B122)</f>
        <v>3.14159265358979</v>
      </c>
      <c r="E122" s="27" t="n">
        <f aca="false">(2/PI())*(C122-COS(C122)*SIN(C122))</f>
        <v>0</v>
      </c>
      <c r="F122" s="27" t="n">
        <f aca="false">SIN(D122)/D122</f>
        <v>3.8997686524021E-017</v>
      </c>
      <c r="G122" s="27" t="n">
        <f aca="false">E122*F122</f>
        <v>0</v>
      </c>
    </row>
    <row collapsed="false" customFormat="false" customHeight="true" hidden="false" ht="12.75" outlineLevel="0" r="123">
      <c r="A123" s="27" t="n">
        <f aca="false">B123*FocalLength*PI()/180</f>
        <v>52.3598775598299</v>
      </c>
      <c r="B123" s="27" t="n">
        <v>120</v>
      </c>
      <c r="C123" s="27" t="n">
        <f aca="false">ACOS((MIN(1,(Wavelength/1000)*B123*fNumber)))</f>
        <v>0</v>
      </c>
      <c r="D123" s="27" t="n">
        <f aca="false">PI()*MIN(1,(PixelPitch/1000)*B123)</f>
        <v>3.14159265358979</v>
      </c>
      <c r="E123" s="27" t="n">
        <f aca="false">(2/PI())*(C123-COS(C123)*SIN(C123))</f>
        <v>0</v>
      </c>
      <c r="F123" s="27" t="n">
        <f aca="false">SIN(D123)/D123</f>
        <v>3.8997686524021E-017</v>
      </c>
      <c r="G123" s="27" t="n">
        <f aca="false">E123*F123</f>
        <v>0</v>
      </c>
    </row>
    <row collapsed="false" customFormat="false" customHeight="true" hidden="false" ht="12.75" outlineLevel="0" r="124">
      <c r="A124" s="27" t="n">
        <f aca="false">B124*FocalLength*PI()/180</f>
        <v>52.7962098728285</v>
      </c>
      <c r="B124" s="27" t="n">
        <v>121</v>
      </c>
      <c r="C124" s="27" t="n">
        <f aca="false">ACOS((MIN(1,(Wavelength/1000)*B124*fNumber)))</f>
        <v>0</v>
      </c>
      <c r="D124" s="27" t="n">
        <f aca="false">PI()*MIN(1,(PixelPitch/1000)*B124)</f>
        <v>3.14159265358979</v>
      </c>
      <c r="E124" s="27" t="n">
        <f aca="false">(2/PI())*(C124-COS(C124)*SIN(C124))</f>
        <v>0</v>
      </c>
      <c r="F124" s="27" t="n">
        <f aca="false">SIN(D124)/D124</f>
        <v>3.8997686524021E-017</v>
      </c>
      <c r="G124" s="27" t="n">
        <f aca="false">E124*F124</f>
        <v>0</v>
      </c>
    </row>
    <row collapsed="false" customFormat="false" customHeight="true" hidden="false" ht="12.75" outlineLevel="0" r="125">
      <c r="A125" s="27" t="n">
        <f aca="false">B125*FocalLength*PI()/180</f>
        <v>53.2325421858271</v>
      </c>
      <c r="B125" s="27" t="n">
        <v>122</v>
      </c>
      <c r="C125" s="27" t="n">
        <f aca="false">ACOS((MIN(1,(Wavelength/1000)*B125*fNumber)))</f>
        <v>0</v>
      </c>
      <c r="D125" s="27" t="n">
        <f aca="false">PI()*MIN(1,(PixelPitch/1000)*B125)</f>
        <v>3.14159265358979</v>
      </c>
      <c r="E125" s="27" t="n">
        <f aca="false">(2/PI())*(C125-COS(C125)*SIN(C125))</f>
        <v>0</v>
      </c>
      <c r="F125" s="27" t="n">
        <f aca="false">SIN(D125)/D125</f>
        <v>3.8997686524021E-017</v>
      </c>
      <c r="G125" s="27" t="n">
        <f aca="false">E125*F125</f>
        <v>0</v>
      </c>
    </row>
    <row collapsed="false" customFormat="false" customHeight="true" hidden="false" ht="12.75" outlineLevel="0" r="126">
      <c r="A126" s="27" t="n">
        <f aca="false">B126*FocalLength*PI()/180</f>
        <v>53.6688744988256</v>
      </c>
      <c r="B126" s="27" t="n">
        <v>123</v>
      </c>
      <c r="C126" s="27" t="n">
        <f aca="false">ACOS((MIN(1,(Wavelength/1000)*B126*fNumber)))</f>
        <v>0</v>
      </c>
      <c r="D126" s="27" t="n">
        <f aca="false">PI()*MIN(1,(PixelPitch/1000)*B126)</f>
        <v>3.14159265358979</v>
      </c>
      <c r="E126" s="27" t="n">
        <f aca="false">(2/PI())*(C126-COS(C126)*SIN(C126))</f>
        <v>0</v>
      </c>
      <c r="F126" s="27" t="n">
        <f aca="false">SIN(D126)/D126</f>
        <v>3.8997686524021E-017</v>
      </c>
      <c r="G126" s="27" t="n">
        <f aca="false">E126*F126</f>
        <v>0</v>
      </c>
    </row>
    <row collapsed="false" customFormat="false" customHeight="true" hidden="false" ht="12.75" outlineLevel="0" r="127">
      <c r="A127" s="27" t="n">
        <f aca="false">B127*FocalLength*PI()/180</f>
        <v>54.1052068118242</v>
      </c>
      <c r="B127" s="27" t="n">
        <v>124</v>
      </c>
      <c r="C127" s="27" t="n">
        <f aca="false">ACOS((MIN(1,(Wavelength/1000)*B127*fNumber)))</f>
        <v>0</v>
      </c>
      <c r="D127" s="27" t="n">
        <f aca="false">PI()*MIN(1,(PixelPitch/1000)*B127)</f>
        <v>3.14159265358979</v>
      </c>
      <c r="E127" s="27" t="n">
        <f aca="false">(2/PI())*(C127-COS(C127)*SIN(C127))</f>
        <v>0</v>
      </c>
      <c r="F127" s="27" t="n">
        <f aca="false">SIN(D127)/D127</f>
        <v>3.8997686524021E-017</v>
      </c>
      <c r="G127" s="27" t="n">
        <f aca="false">E127*F127</f>
        <v>0</v>
      </c>
    </row>
    <row collapsed="false" customFormat="false" customHeight="true" hidden="false" ht="12.75" outlineLevel="0" r="128">
      <c r="A128" s="27" t="n">
        <f aca="false">B128*FocalLength*PI()/180</f>
        <v>54.5415391248228</v>
      </c>
      <c r="B128" s="27" t="n">
        <v>125</v>
      </c>
      <c r="C128" s="27" t="n">
        <f aca="false">ACOS((MIN(1,(Wavelength/1000)*B128*fNumber)))</f>
        <v>0</v>
      </c>
      <c r="D128" s="27" t="n">
        <f aca="false">PI()*MIN(1,(PixelPitch/1000)*B128)</f>
        <v>3.14159265358979</v>
      </c>
      <c r="E128" s="27" t="n">
        <f aca="false">(2/PI())*(C128-COS(C128)*SIN(C128))</f>
        <v>0</v>
      </c>
      <c r="F128" s="27" t="n">
        <f aca="false">SIN(D128)/D128</f>
        <v>3.8997686524021E-017</v>
      </c>
      <c r="G128" s="27" t="n">
        <f aca="false">E128*F128</f>
        <v>0</v>
      </c>
    </row>
    <row collapsed="false" customFormat="false" customHeight="true" hidden="false" ht="12.75" outlineLevel="0" r="129">
      <c r="A129" s="27" t="n">
        <f aca="false">B129*FocalLength*PI()/180</f>
        <v>54.9778714378214</v>
      </c>
      <c r="B129" s="27" t="n">
        <v>126</v>
      </c>
      <c r="C129" s="27" t="n">
        <f aca="false">ACOS((MIN(1,(Wavelength/1000)*B129*fNumber)))</f>
        <v>0</v>
      </c>
      <c r="D129" s="27" t="n">
        <f aca="false">PI()*MIN(1,(PixelPitch/1000)*B129)</f>
        <v>3.14159265358979</v>
      </c>
      <c r="E129" s="27" t="n">
        <f aca="false">(2/PI())*(C129-COS(C129)*SIN(C129))</f>
        <v>0</v>
      </c>
      <c r="F129" s="27" t="n">
        <f aca="false">SIN(D129)/D129</f>
        <v>3.8997686524021E-017</v>
      </c>
      <c r="G129" s="27" t="n">
        <f aca="false">E129*F129</f>
        <v>0</v>
      </c>
    </row>
    <row collapsed="false" customFormat="false" customHeight="true" hidden="false" ht="12.75" outlineLevel="0" r="130">
      <c r="A130" s="27" t="n">
        <f aca="false">B130*FocalLength*PI()/180</f>
        <v>55.41420375082</v>
      </c>
      <c r="B130" s="27" t="n">
        <v>127</v>
      </c>
      <c r="C130" s="27" t="n">
        <f aca="false">ACOS((MIN(1,(Wavelength/1000)*B130*fNumber)))</f>
        <v>0</v>
      </c>
      <c r="D130" s="27" t="n">
        <f aca="false">PI()*MIN(1,(PixelPitch/1000)*B130)</f>
        <v>3.14159265358979</v>
      </c>
      <c r="E130" s="27" t="n">
        <f aca="false">(2/PI())*(C130-COS(C130)*SIN(C130))</f>
        <v>0</v>
      </c>
      <c r="F130" s="27" t="n">
        <f aca="false">SIN(D130)/D130</f>
        <v>3.8997686524021E-017</v>
      </c>
      <c r="G130" s="27" t="n">
        <f aca="false">E130*F130</f>
        <v>0</v>
      </c>
    </row>
    <row collapsed="false" customFormat="false" customHeight="true" hidden="false" ht="12.75" outlineLevel="0" r="131">
      <c r="A131" s="27" t="n">
        <f aca="false">B131*FocalLength*PI()/180</f>
        <v>55.8505360638185</v>
      </c>
      <c r="B131" s="27" t="n">
        <v>128</v>
      </c>
      <c r="C131" s="27" t="n">
        <f aca="false">ACOS((MIN(1,(Wavelength/1000)*B131*fNumber)))</f>
        <v>0</v>
      </c>
      <c r="D131" s="27" t="n">
        <f aca="false">PI()*MIN(1,(PixelPitch/1000)*B131)</f>
        <v>3.14159265358979</v>
      </c>
      <c r="E131" s="27" t="n">
        <f aca="false">(2/PI())*(C131-COS(C131)*SIN(C131))</f>
        <v>0</v>
      </c>
      <c r="F131" s="27" t="n">
        <f aca="false">SIN(D131)/D131</f>
        <v>3.8997686524021E-017</v>
      </c>
      <c r="G131" s="27" t="n">
        <f aca="false">E131*F131</f>
        <v>0</v>
      </c>
    </row>
    <row collapsed="false" customFormat="false" customHeight="true" hidden="false" ht="12.75" outlineLevel="0" r="132">
      <c r="A132" s="27" t="n">
        <f aca="false">B132*FocalLength*PI()/180</f>
        <v>56.2868683768171</v>
      </c>
      <c r="B132" s="27" t="n">
        <v>129</v>
      </c>
      <c r="C132" s="27" t="n">
        <f aca="false">ACOS((MIN(1,(Wavelength/1000)*B132*fNumber)))</f>
        <v>0</v>
      </c>
      <c r="D132" s="27" t="n">
        <f aca="false">PI()*MIN(1,(PixelPitch/1000)*B132)</f>
        <v>3.14159265358979</v>
      </c>
      <c r="E132" s="27" t="n">
        <f aca="false">(2/PI())*(C132-COS(C132)*SIN(C132))</f>
        <v>0</v>
      </c>
      <c r="F132" s="27" t="n">
        <f aca="false">SIN(D132)/D132</f>
        <v>3.8997686524021E-017</v>
      </c>
      <c r="G132" s="27" t="n">
        <f aca="false">E132*F132</f>
        <v>0</v>
      </c>
    </row>
    <row collapsed="false" customFormat="false" customHeight="true" hidden="false" ht="12.75" outlineLevel="0" r="133">
      <c r="A133" s="27" t="n">
        <f aca="false">B133*FocalLength*PI()/180</f>
        <v>56.7232006898157</v>
      </c>
      <c r="B133" s="27" t="n">
        <v>130</v>
      </c>
      <c r="C133" s="27" t="n">
        <f aca="false">ACOS((MIN(1,(Wavelength/1000)*B133*fNumber)))</f>
        <v>0</v>
      </c>
      <c r="D133" s="27" t="n">
        <f aca="false">PI()*MIN(1,(PixelPitch/1000)*B133)</f>
        <v>3.14159265358979</v>
      </c>
      <c r="E133" s="27" t="n">
        <f aca="false">(2/PI())*(C133-COS(C133)*SIN(C133))</f>
        <v>0</v>
      </c>
      <c r="F133" s="27" t="n">
        <f aca="false">SIN(D133)/D133</f>
        <v>3.8997686524021E-017</v>
      </c>
      <c r="G133" s="27" t="n">
        <f aca="false">E133*F133</f>
        <v>0</v>
      </c>
    </row>
    <row collapsed="false" customFormat="false" customHeight="true" hidden="false" ht="12.75" outlineLevel="0" r="134">
      <c r="A134" s="27" t="n">
        <f aca="false">B134*FocalLength*PI()/180</f>
        <v>57.1595330028143</v>
      </c>
      <c r="B134" s="27" t="n">
        <v>131</v>
      </c>
      <c r="C134" s="27" t="n">
        <f aca="false">ACOS((MIN(1,(Wavelength/1000)*B134*fNumber)))</f>
        <v>0</v>
      </c>
      <c r="D134" s="27" t="n">
        <f aca="false">PI()*MIN(1,(PixelPitch/1000)*B134)</f>
        <v>3.14159265358979</v>
      </c>
      <c r="E134" s="27" t="n">
        <f aca="false">(2/PI())*(C134-COS(C134)*SIN(C134))</f>
        <v>0</v>
      </c>
      <c r="F134" s="27" t="n">
        <f aca="false">SIN(D134)/D134</f>
        <v>3.8997686524021E-017</v>
      </c>
      <c r="G134" s="27" t="n">
        <f aca="false">E134*F134</f>
        <v>0</v>
      </c>
    </row>
    <row collapsed="false" customFormat="false" customHeight="true" hidden="false" ht="12.75" outlineLevel="0" r="135">
      <c r="A135" s="27" t="n">
        <f aca="false">B135*FocalLength*PI()/180</f>
        <v>57.5958653158129</v>
      </c>
      <c r="B135" s="27" t="n">
        <v>132</v>
      </c>
      <c r="C135" s="27" t="n">
        <f aca="false">ACOS((MIN(1,(Wavelength/1000)*B135*fNumber)))</f>
        <v>0</v>
      </c>
      <c r="D135" s="27" t="n">
        <f aca="false">PI()*MIN(1,(PixelPitch/1000)*B135)</f>
        <v>3.14159265358979</v>
      </c>
      <c r="E135" s="27" t="n">
        <f aca="false">(2/PI())*(C135-COS(C135)*SIN(C135))</f>
        <v>0</v>
      </c>
      <c r="F135" s="27" t="n">
        <f aca="false">SIN(D135)/D135</f>
        <v>3.8997686524021E-017</v>
      </c>
      <c r="G135" s="27" t="n">
        <f aca="false">E135*F135</f>
        <v>0</v>
      </c>
    </row>
    <row collapsed="false" customFormat="false" customHeight="true" hidden="false" ht="12.75" outlineLevel="0" r="136">
      <c r="A136" s="27" t="n">
        <f aca="false">B136*FocalLength*PI()/180</f>
        <v>58.0321976288115</v>
      </c>
      <c r="B136" s="27" t="n">
        <v>133</v>
      </c>
      <c r="C136" s="27" t="n">
        <f aca="false">ACOS((MIN(1,(Wavelength/1000)*B136*fNumber)))</f>
        <v>0</v>
      </c>
      <c r="D136" s="27" t="n">
        <f aca="false">PI()*MIN(1,(PixelPitch/1000)*B136)</f>
        <v>3.14159265358979</v>
      </c>
      <c r="E136" s="27" t="n">
        <f aca="false">(2/PI())*(C136-COS(C136)*SIN(C136))</f>
        <v>0</v>
      </c>
      <c r="F136" s="27" t="n">
        <f aca="false">SIN(D136)/D136</f>
        <v>3.8997686524021E-017</v>
      </c>
      <c r="G136" s="27" t="n">
        <f aca="false">E136*F136</f>
        <v>0</v>
      </c>
    </row>
    <row collapsed="false" customFormat="false" customHeight="true" hidden="false" ht="12.75" outlineLevel="0" r="137">
      <c r="A137" s="27" t="n">
        <f aca="false">B137*FocalLength*PI()/180</f>
        <v>58.46852994181</v>
      </c>
      <c r="B137" s="27" t="n">
        <v>134</v>
      </c>
      <c r="C137" s="27" t="n">
        <f aca="false">ACOS((MIN(1,(Wavelength/1000)*B137*fNumber)))</f>
        <v>0</v>
      </c>
      <c r="D137" s="27" t="n">
        <f aca="false">PI()*MIN(1,(PixelPitch/1000)*B137)</f>
        <v>3.14159265358979</v>
      </c>
      <c r="E137" s="27" t="n">
        <f aca="false">(2/PI())*(C137-COS(C137)*SIN(C137))</f>
        <v>0</v>
      </c>
      <c r="F137" s="27" t="n">
        <f aca="false">SIN(D137)/D137</f>
        <v>3.8997686524021E-017</v>
      </c>
      <c r="G137" s="27" t="n">
        <f aca="false">E137*F137</f>
        <v>0</v>
      </c>
    </row>
    <row collapsed="false" customFormat="false" customHeight="true" hidden="false" ht="12.75" outlineLevel="0" r="138">
      <c r="A138" s="27" t="n">
        <f aca="false">B138*FocalLength*PI()/180</f>
        <v>58.9048622548086</v>
      </c>
      <c r="B138" s="27" t="n">
        <v>135</v>
      </c>
      <c r="C138" s="27" t="n">
        <f aca="false">ACOS((MIN(1,(Wavelength/1000)*B138*fNumber)))</f>
        <v>0</v>
      </c>
      <c r="D138" s="27" t="n">
        <f aca="false">PI()*MIN(1,(PixelPitch/1000)*B138)</f>
        <v>3.14159265358979</v>
      </c>
      <c r="E138" s="27" t="n">
        <f aca="false">(2/PI())*(C138-COS(C138)*SIN(C138))</f>
        <v>0</v>
      </c>
      <c r="F138" s="27" t="n">
        <f aca="false">SIN(D138)/D138</f>
        <v>3.8997686524021E-017</v>
      </c>
      <c r="G138" s="27" t="n">
        <f aca="false">E138*F138</f>
        <v>0</v>
      </c>
    </row>
    <row collapsed="false" customFormat="false" customHeight="true" hidden="false" ht="12.75" outlineLevel="0" r="139">
      <c r="A139" s="27" t="n">
        <f aca="false">B139*FocalLength*PI()/180</f>
        <v>59.3411945678072</v>
      </c>
      <c r="B139" s="27" t="n">
        <v>136</v>
      </c>
      <c r="C139" s="27" t="n">
        <f aca="false">ACOS((MIN(1,(Wavelength/1000)*B139*fNumber)))</f>
        <v>0</v>
      </c>
      <c r="D139" s="27" t="n">
        <f aca="false">PI()*MIN(1,(PixelPitch/1000)*B139)</f>
        <v>3.14159265358979</v>
      </c>
      <c r="E139" s="27" t="n">
        <f aca="false">(2/PI())*(C139-COS(C139)*SIN(C139))</f>
        <v>0</v>
      </c>
      <c r="F139" s="27" t="n">
        <f aca="false">SIN(D139)/D139</f>
        <v>3.8997686524021E-017</v>
      </c>
      <c r="G139" s="27" t="n">
        <f aca="false">E139*F139</f>
        <v>0</v>
      </c>
    </row>
    <row collapsed="false" customFormat="false" customHeight="true" hidden="false" ht="12.75" outlineLevel="0" r="140">
      <c r="A140" s="27" t="n">
        <f aca="false">B140*FocalLength*PI()/180</f>
        <v>59.7775268808058</v>
      </c>
      <c r="B140" s="27" t="n">
        <v>137</v>
      </c>
      <c r="C140" s="27" t="n">
        <f aca="false">ACOS((MIN(1,(Wavelength/1000)*B140*fNumber)))</f>
        <v>0</v>
      </c>
      <c r="D140" s="27" t="n">
        <f aca="false">PI()*MIN(1,(PixelPitch/1000)*B140)</f>
        <v>3.14159265358979</v>
      </c>
      <c r="E140" s="27" t="n">
        <f aca="false">(2/PI())*(C140-COS(C140)*SIN(C140))</f>
        <v>0</v>
      </c>
      <c r="F140" s="27" t="n">
        <f aca="false">SIN(D140)/D140</f>
        <v>3.8997686524021E-017</v>
      </c>
      <c r="G140" s="27" t="n">
        <f aca="false">E140*F140</f>
        <v>0</v>
      </c>
    </row>
    <row collapsed="false" customFormat="false" customHeight="true" hidden="false" ht="12.75" outlineLevel="0" r="141">
      <c r="A141" s="27" t="n">
        <f aca="false">B141*FocalLength*PI()/180</f>
        <v>60.2138591938044</v>
      </c>
      <c r="B141" s="27" t="n">
        <v>138</v>
      </c>
      <c r="C141" s="27" t="n">
        <f aca="false">ACOS((MIN(1,(Wavelength/1000)*B141*fNumber)))</f>
        <v>0</v>
      </c>
      <c r="D141" s="27" t="n">
        <f aca="false">PI()*MIN(1,(PixelPitch/1000)*B141)</f>
        <v>3.14159265358979</v>
      </c>
      <c r="E141" s="27" t="n">
        <f aca="false">(2/PI())*(C141-COS(C141)*SIN(C141))</f>
        <v>0</v>
      </c>
      <c r="F141" s="27" t="n">
        <f aca="false">SIN(D141)/D141</f>
        <v>3.8997686524021E-017</v>
      </c>
      <c r="G141" s="27" t="n">
        <f aca="false">E141*F141</f>
        <v>0</v>
      </c>
    </row>
    <row collapsed="false" customFormat="false" customHeight="true" hidden="false" ht="12.75" outlineLevel="0" r="142">
      <c r="A142" s="27" t="n">
        <f aca="false">B142*FocalLength*PI()/180</f>
        <v>60.650191506803</v>
      </c>
      <c r="B142" s="27" t="n">
        <v>139</v>
      </c>
      <c r="C142" s="27" t="n">
        <f aca="false">ACOS((MIN(1,(Wavelength/1000)*B142*fNumber)))</f>
        <v>0</v>
      </c>
      <c r="D142" s="27" t="n">
        <f aca="false">PI()*MIN(1,(PixelPitch/1000)*B142)</f>
        <v>3.14159265358979</v>
      </c>
      <c r="E142" s="27" t="n">
        <f aca="false">(2/PI())*(C142-COS(C142)*SIN(C142))</f>
        <v>0</v>
      </c>
      <c r="F142" s="27" t="n">
        <f aca="false">SIN(D142)/D142</f>
        <v>3.8997686524021E-017</v>
      </c>
      <c r="G142" s="27" t="n">
        <f aca="false">E142*F142</f>
        <v>0</v>
      </c>
    </row>
    <row collapsed="false" customFormat="false" customHeight="true" hidden="false" ht="12.75" outlineLevel="0" r="143">
      <c r="A143" s="27" t="n">
        <f aca="false">B143*FocalLength*PI()/180</f>
        <v>61.0865238198015</v>
      </c>
      <c r="B143" s="27" t="n">
        <v>140</v>
      </c>
      <c r="C143" s="27" t="n">
        <f aca="false">ACOS((MIN(1,(Wavelength/1000)*B143*fNumber)))</f>
        <v>0</v>
      </c>
      <c r="D143" s="27" t="n">
        <f aca="false">PI()*MIN(1,(PixelPitch/1000)*B143)</f>
        <v>3.14159265358979</v>
      </c>
      <c r="E143" s="27" t="n">
        <f aca="false">(2/PI())*(C143-COS(C143)*SIN(C143))</f>
        <v>0</v>
      </c>
      <c r="F143" s="27" t="n">
        <f aca="false">SIN(D143)/D143</f>
        <v>3.8997686524021E-017</v>
      </c>
      <c r="G143" s="27" t="n">
        <f aca="false">E143*F143</f>
        <v>0</v>
      </c>
    </row>
    <row collapsed="false" customFormat="false" customHeight="true" hidden="false" ht="12.75" outlineLevel="0" r="144">
      <c r="A144" s="27" t="n">
        <f aca="false">B144*FocalLength*PI()/180</f>
        <v>61.5228561328001</v>
      </c>
      <c r="B144" s="27" t="n">
        <v>141</v>
      </c>
      <c r="C144" s="27" t="n">
        <f aca="false">ACOS((MIN(1,(Wavelength/1000)*B144*fNumber)))</f>
        <v>0</v>
      </c>
      <c r="D144" s="27" t="n">
        <f aca="false">PI()*MIN(1,(PixelPitch/1000)*B144)</f>
        <v>3.14159265358979</v>
      </c>
      <c r="E144" s="27" t="n">
        <f aca="false">(2/PI())*(C144-COS(C144)*SIN(C144))</f>
        <v>0</v>
      </c>
      <c r="F144" s="27" t="n">
        <f aca="false">SIN(D144)/D144</f>
        <v>3.8997686524021E-017</v>
      </c>
      <c r="G144" s="27" t="n">
        <f aca="false">E144*F144</f>
        <v>0</v>
      </c>
    </row>
    <row collapsed="false" customFormat="false" customHeight="true" hidden="false" ht="12.75" outlineLevel="0" r="145">
      <c r="A145" s="27" t="n">
        <f aca="false">B145*FocalLength*PI()/180</f>
        <v>61.9591884457987</v>
      </c>
      <c r="B145" s="27" t="n">
        <v>142</v>
      </c>
      <c r="C145" s="27" t="n">
        <f aca="false">ACOS((MIN(1,(Wavelength/1000)*B145*fNumber)))</f>
        <v>0</v>
      </c>
      <c r="D145" s="27" t="n">
        <f aca="false">PI()*MIN(1,(PixelPitch/1000)*B145)</f>
        <v>3.14159265358979</v>
      </c>
      <c r="E145" s="27" t="n">
        <f aca="false">(2/PI())*(C145-COS(C145)*SIN(C145))</f>
        <v>0</v>
      </c>
      <c r="F145" s="27" t="n">
        <f aca="false">SIN(D145)/D145</f>
        <v>3.8997686524021E-017</v>
      </c>
      <c r="G145" s="27" t="n">
        <f aca="false">E145*F145</f>
        <v>0</v>
      </c>
    </row>
    <row collapsed="false" customFormat="false" customHeight="true" hidden="false" ht="12.75" outlineLevel="0" r="146">
      <c r="A146" s="27" t="n">
        <f aca="false">B146*FocalLength*PI()/180</f>
        <v>62.3955207587973</v>
      </c>
      <c r="B146" s="27" t="n">
        <v>143</v>
      </c>
      <c r="C146" s="27" t="n">
        <f aca="false">ACOS((MIN(1,(Wavelength/1000)*B146*fNumber)))</f>
        <v>0</v>
      </c>
      <c r="D146" s="27" t="n">
        <f aca="false">PI()*MIN(1,(PixelPitch/1000)*B146)</f>
        <v>3.14159265358979</v>
      </c>
      <c r="E146" s="27" t="n">
        <f aca="false">(2/PI())*(C146-COS(C146)*SIN(C146))</f>
        <v>0</v>
      </c>
      <c r="F146" s="27" t="n">
        <f aca="false">SIN(D146)/D146</f>
        <v>3.8997686524021E-017</v>
      </c>
      <c r="G146" s="27" t="n">
        <f aca="false">E146*F146</f>
        <v>0</v>
      </c>
    </row>
    <row collapsed="false" customFormat="false" customHeight="true" hidden="false" ht="12.75" outlineLevel="0" r="147">
      <c r="A147" s="27" t="n">
        <f aca="false">B147*FocalLength*PI()/180</f>
        <v>62.8318530717959</v>
      </c>
      <c r="B147" s="27" t="n">
        <v>144</v>
      </c>
      <c r="C147" s="27" t="n">
        <f aca="false">ACOS((MIN(1,(Wavelength/1000)*B147*fNumber)))</f>
        <v>0</v>
      </c>
      <c r="D147" s="27" t="n">
        <f aca="false">PI()*MIN(1,(PixelPitch/1000)*B147)</f>
        <v>3.14159265358979</v>
      </c>
      <c r="E147" s="27" t="n">
        <f aca="false">(2/PI())*(C147-COS(C147)*SIN(C147))</f>
        <v>0</v>
      </c>
      <c r="F147" s="27" t="n">
        <f aca="false">SIN(D147)/D147</f>
        <v>3.8997686524021E-017</v>
      </c>
      <c r="G147" s="27" t="n">
        <f aca="false">E147*F147</f>
        <v>0</v>
      </c>
    </row>
    <row collapsed="false" customFormat="false" customHeight="true" hidden="false" ht="12.75" outlineLevel="0" r="148">
      <c r="A148" s="27" t="n">
        <f aca="false">B148*FocalLength*PI()/180</f>
        <v>63.2681853847945</v>
      </c>
      <c r="B148" s="27" t="n">
        <v>145</v>
      </c>
      <c r="C148" s="27" t="n">
        <f aca="false">ACOS((MIN(1,(Wavelength/1000)*B148*fNumber)))</f>
        <v>0</v>
      </c>
      <c r="D148" s="27" t="n">
        <f aca="false">PI()*MIN(1,(PixelPitch/1000)*B148)</f>
        <v>3.14159265358979</v>
      </c>
      <c r="E148" s="27" t="n">
        <f aca="false">(2/PI())*(C148-COS(C148)*SIN(C148))</f>
        <v>0</v>
      </c>
      <c r="F148" s="27" t="n">
        <f aca="false">SIN(D148)/D148</f>
        <v>3.8997686524021E-017</v>
      </c>
      <c r="G148" s="27" t="n">
        <f aca="false">E148*F148</f>
        <v>0</v>
      </c>
    </row>
    <row collapsed="false" customFormat="false" customHeight="true" hidden="false" ht="12.75" outlineLevel="0" r="149">
      <c r="A149" s="27" t="n">
        <f aca="false">B149*FocalLength*PI()/180</f>
        <v>63.704517697793</v>
      </c>
      <c r="B149" s="27" t="n">
        <v>146</v>
      </c>
      <c r="C149" s="27" t="n">
        <f aca="false">ACOS((MIN(1,(Wavelength/1000)*B149*fNumber)))</f>
        <v>0</v>
      </c>
      <c r="D149" s="27" t="n">
        <f aca="false">PI()*MIN(1,(PixelPitch/1000)*B149)</f>
        <v>3.14159265358979</v>
      </c>
      <c r="E149" s="27" t="n">
        <f aca="false">(2/PI())*(C149-COS(C149)*SIN(C149))</f>
        <v>0</v>
      </c>
      <c r="F149" s="27" t="n">
        <f aca="false">SIN(D149)/D149</f>
        <v>3.8997686524021E-017</v>
      </c>
      <c r="G149" s="27" t="n">
        <f aca="false">E149*F149</f>
        <v>0</v>
      </c>
    </row>
    <row collapsed="false" customFormat="false" customHeight="true" hidden="false" ht="12.75" outlineLevel="0" r="150">
      <c r="A150" s="27" t="n">
        <f aca="false">B150*FocalLength*PI()/180</f>
        <v>64.1408500107916</v>
      </c>
      <c r="B150" s="27" t="n">
        <v>147</v>
      </c>
      <c r="C150" s="27" t="n">
        <f aca="false">ACOS((MIN(1,(Wavelength/1000)*B150*fNumber)))</f>
        <v>0</v>
      </c>
      <c r="D150" s="27" t="n">
        <f aca="false">PI()*MIN(1,(PixelPitch/1000)*B150)</f>
        <v>3.14159265358979</v>
      </c>
      <c r="E150" s="27" t="n">
        <f aca="false">(2/PI())*(C150-COS(C150)*SIN(C150))</f>
        <v>0</v>
      </c>
      <c r="F150" s="27" t="n">
        <f aca="false">SIN(D150)/D150</f>
        <v>3.8997686524021E-017</v>
      </c>
      <c r="G150" s="27" t="n">
        <f aca="false">E150*F150</f>
        <v>0</v>
      </c>
    </row>
    <row collapsed="false" customFormat="false" customHeight="true" hidden="false" ht="12.75" outlineLevel="0" r="151">
      <c r="A151" s="27" t="n">
        <f aca="false">B151*FocalLength*PI()/180</f>
        <v>64.5771823237902</v>
      </c>
      <c r="B151" s="27" t="n">
        <v>148</v>
      </c>
      <c r="C151" s="27" t="n">
        <f aca="false">ACOS((MIN(1,(Wavelength/1000)*B151*fNumber)))</f>
        <v>0</v>
      </c>
      <c r="D151" s="27" t="n">
        <f aca="false">PI()*MIN(1,(PixelPitch/1000)*B151)</f>
        <v>3.14159265358979</v>
      </c>
      <c r="E151" s="27" t="n">
        <f aca="false">(2/PI())*(C151-COS(C151)*SIN(C151))</f>
        <v>0</v>
      </c>
      <c r="F151" s="27" t="n">
        <f aca="false">SIN(D151)/D151</f>
        <v>3.8997686524021E-017</v>
      </c>
      <c r="G151" s="27" t="n">
        <f aca="false">E151*F151</f>
        <v>0</v>
      </c>
    </row>
    <row collapsed="false" customFormat="false" customHeight="true" hidden="false" ht="12.75" outlineLevel="0" r="152">
      <c r="A152" s="27" t="n">
        <f aca="false">B152*FocalLength*PI()/180</f>
        <v>65.0135146367888</v>
      </c>
      <c r="B152" s="27" t="n">
        <v>149</v>
      </c>
      <c r="C152" s="27" t="n">
        <f aca="false">ACOS((MIN(1,(Wavelength/1000)*B152*fNumber)))</f>
        <v>0</v>
      </c>
      <c r="D152" s="27" t="n">
        <f aca="false">PI()*MIN(1,(PixelPitch/1000)*B152)</f>
        <v>3.14159265358979</v>
      </c>
      <c r="E152" s="27" t="n">
        <f aca="false">(2/PI())*(C152-COS(C152)*SIN(C152))</f>
        <v>0</v>
      </c>
      <c r="F152" s="27" t="n">
        <f aca="false">SIN(D152)/D152</f>
        <v>3.8997686524021E-017</v>
      </c>
      <c r="G152" s="27" t="n">
        <f aca="false">E152*F152</f>
        <v>0</v>
      </c>
    </row>
    <row collapsed="false" customFormat="false" customHeight="true" hidden="false" ht="12.75" outlineLevel="0" r="153">
      <c r="A153" s="27" t="n">
        <f aca="false">B153*FocalLength*PI()/180</f>
        <v>65.4498469497874</v>
      </c>
      <c r="B153" s="27" t="n">
        <v>150</v>
      </c>
      <c r="C153" s="27" t="n">
        <f aca="false">ACOS((MIN(1,(Wavelength/1000)*B153*fNumber)))</f>
        <v>0</v>
      </c>
      <c r="D153" s="27" t="n">
        <f aca="false">PI()*MIN(1,(PixelPitch/1000)*B153)</f>
        <v>3.14159265358979</v>
      </c>
      <c r="E153" s="27" t="n">
        <f aca="false">(2/PI())*(C153-COS(C153)*SIN(C153))</f>
        <v>0</v>
      </c>
      <c r="F153" s="27" t="n">
        <f aca="false">SIN(D153)/D153</f>
        <v>3.8997686524021E-017</v>
      </c>
      <c r="G153" s="27" t="n">
        <f aca="false">E153*F153</f>
        <v>0</v>
      </c>
    </row>
    <row collapsed="false" customFormat="false" customHeight="true" hidden="false" ht="12.75" outlineLevel="0" r="154">
      <c r="A154" s="27" t="n">
        <f aca="false">B154*FocalLength*PI()/180</f>
        <v>65.8861792627859</v>
      </c>
      <c r="B154" s="27" t="n">
        <v>151</v>
      </c>
      <c r="C154" s="27" t="n">
        <f aca="false">ACOS((MIN(1,(Wavelength/1000)*B154*fNumber)))</f>
        <v>0</v>
      </c>
      <c r="D154" s="27" t="n">
        <f aca="false">PI()*MIN(1,(PixelPitch/1000)*B154)</f>
        <v>3.14159265358979</v>
      </c>
      <c r="E154" s="27" t="n">
        <f aca="false">(2/PI())*(C154-COS(C154)*SIN(C154))</f>
        <v>0</v>
      </c>
      <c r="F154" s="27" t="n">
        <f aca="false">SIN(D154)/D154</f>
        <v>3.8997686524021E-017</v>
      </c>
      <c r="G154" s="27" t="n">
        <f aca="false">E154*F154</f>
        <v>0</v>
      </c>
    </row>
    <row collapsed="false" customFormat="false" customHeight="true" hidden="false" ht="12.75" outlineLevel="0" r="155">
      <c r="A155" s="27" t="n">
        <f aca="false">B155*FocalLength*PI()/180</f>
        <v>66.3225115757845</v>
      </c>
      <c r="B155" s="27" t="n">
        <v>152</v>
      </c>
      <c r="C155" s="27" t="n">
        <f aca="false">ACOS((MIN(1,(Wavelength/1000)*B155*fNumber)))</f>
        <v>0</v>
      </c>
      <c r="D155" s="27" t="n">
        <f aca="false">PI()*MIN(1,(PixelPitch/1000)*B155)</f>
        <v>3.14159265358979</v>
      </c>
      <c r="E155" s="27" t="n">
        <f aca="false">(2/PI())*(C155-COS(C155)*SIN(C155))</f>
        <v>0</v>
      </c>
      <c r="F155" s="27" t="n">
        <f aca="false">SIN(D155)/D155</f>
        <v>3.8997686524021E-017</v>
      </c>
      <c r="G155" s="27" t="n">
        <f aca="false">E155*F155</f>
        <v>0</v>
      </c>
    </row>
    <row collapsed="false" customFormat="false" customHeight="true" hidden="false" ht="12.75" outlineLevel="0" r="156">
      <c r="A156" s="27" t="n">
        <f aca="false">B156*FocalLength*PI()/180</f>
        <v>66.7588438887831</v>
      </c>
      <c r="B156" s="27" t="n">
        <v>153</v>
      </c>
      <c r="C156" s="27" t="n">
        <f aca="false">ACOS((MIN(1,(Wavelength/1000)*B156*fNumber)))</f>
        <v>0</v>
      </c>
      <c r="D156" s="27" t="n">
        <f aca="false">PI()*MIN(1,(PixelPitch/1000)*B156)</f>
        <v>3.14159265358979</v>
      </c>
      <c r="E156" s="27" t="n">
        <f aca="false">(2/PI())*(C156-COS(C156)*SIN(C156))</f>
        <v>0</v>
      </c>
      <c r="F156" s="27" t="n">
        <f aca="false">SIN(D156)/D156</f>
        <v>3.8997686524021E-017</v>
      </c>
      <c r="G156" s="27" t="n">
        <f aca="false">E156*F156</f>
        <v>0</v>
      </c>
    </row>
    <row collapsed="false" customFormat="false" customHeight="true" hidden="false" ht="12.75" outlineLevel="0" r="157">
      <c r="A157" s="27" t="n">
        <f aca="false">B157*FocalLength*PI()/180</f>
        <v>67.1951762017817</v>
      </c>
      <c r="B157" s="27" t="n">
        <v>154</v>
      </c>
      <c r="C157" s="27" t="n">
        <f aca="false">ACOS((MIN(1,(Wavelength/1000)*B157*fNumber)))</f>
        <v>0</v>
      </c>
      <c r="D157" s="27" t="n">
        <f aca="false">PI()*MIN(1,(PixelPitch/1000)*B157)</f>
        <v>3.14159265358979</v>
      </c>
      <c r="E157" s="27" t="n">
        <f aca="false">(2/PI())*(C157-COS(C157)*SIN(C157))</f>
        <v>0</v>
      </c>
      <c r="F157" s="27" t="n">
        <f aca="false">SIN(D157)/D157</f>
        <v>3.8997686524021E-017</v>
      </c>
      <c r="G157" s="27" t="n">
        <f aca="false">E157*F157</f>
        <v>0</v>
      </c>
    </row>
    <row collapsed="false" customFormat="false" customHeight="true" hidden="false" ht="12.75" outlineLevel="0" r="158">
      <c r="A158" s="27" t="n">
        <f aca="false">B158*FocalLength*PI()/180</f>
        <v>67.6315085147803</v>
      </c>
      <c r="B158" s="27" t="n">
        <v>155</v>
      </c>
      <c r="C158" s="27" t="n">
        <f aca="false">ACOS((MIN(1,(Wavelength/1000)*B158*fNumber)))</f>
        <v>0</v>
      </c>
      <c r="D158" s="27" t="n">
        <f aca="false">PI()*MIN(1,(PixelPitch/1000)*B158)</f>
        <v>3.14159265358979</v>
      </c>
      <c r="E158" s="27" t="n">
        <f aca="false">(2/PI())*(C158-COS(C158)*SIN(C158))</f>
        <v>0</v>
      </c>
      <c r="F158" s="27" t="n">
        <f aca="false">SIN(D158)/D158</f>
        <v>3.8997686524021E-017</v>
      </c>
      <c r="G158" s="27" t="n">
        <f aca="false">E158*F158</f>
        <v>0</v>
      </c>
    </row>
    <row collapsed="false" customFormat="false" customHeight="true" hidden="false" ht="12.75" outlineLevel="0" r="159">
      <c r="A159" s="27" t="n">
        <f aca="false">B159*FocalLength*PI()/180</f>
        <v>68.0678408277789</v>
      </c>
      <c r="B159" s="27" t="n">
        <v>156</v>
      </c>
      <c r="C159" s="27" t="n">
        <f aca="false">ACOS((MIN(1,(Wavelength/1000)*B159*fNumber)))</f>
        <v>0</v>
      </c>
      <c r="D159" s="27" t="n">
        <f aca="false">PI()*MIN(1,(PixelPitch/1000)*B159)</f>
        <v>3.14159265358979</v>
      </c>
      <c r="E159" s="27" t="n">
        <f aca="false">(2/PI())*(C159-COS(C159)*SIN(C159))</f>
        <v>0</v>
      </c>
      <c r="F159" s="27" t="n">
        <f aca="false">SIN(D159)/D159</f>
        <v>3.8997686524021E-017</v>
      </c>
      <c r="G159" s="27" t="n">
        <f aca="false">E159*F159</f>
        <v>0</v>
      </c>
    </row>
    <row collapsed="false" customFormat="false" customHeight="true" hidden="false" ht="12.75" outlineLevel="0" r="160">
      <c r="A160" s="27" t="n">
        <f aca="false">B160*FocalLength*PI()/180</f>
        <v>68.5041731407774</v>
      </c>
      <c r="B160" s="27" t="n">
        <v>157</v>
      </c>
      <c r="C160" s="27" t="n">
        <f aca="false">ACOS((MIN(1,(Wavelength/1000)*B160*fNumber)))</f>
        <v>0</v>
      </c>
      <c r="D160" s="27" t="n">
        <f aca="false">PI()*MIN(1,(PixelPitch/1000)*B160)</f>
        <v>3.14159265358979</v>
      </c>
      <c r="E160" s="27" t="n">
        <f aca="false">(2/PI())*(C160-COS(C160)*SIN(C160))</f>
        <v>0</v>
      </c>
      <c r="F160" s="27" t="n">
        <f aca="false">SIN(D160)/D160</f>
        <v>3.8997686524021E-017</v>
      </c>
      <c r="G160" s="27" t="n">
        <f aca="false">E160*F160</f>
        <v>0</v>
      </c>
    </row>
    <row collapsed="false" customFormat="false" customHeight="true" hidden="false" ht="12.75" outlineLevel="0" r="161">
      <c r="A161" s="27" t="n">
        <f aca="false">B161*FocalLength*PI()/180</f>
        <v>68.940505453776</v>
      </c>
      <c r="B161" s="27" t="n">
        <v>158</v>
      </c>
      <c r="C161" s="27" t="n">
        <f aca="false">ACOS((MIN(1,(Wavelength/1000)*B161*fNumber)))</f>
        <v>0</v>
      </c>
      <c r="D161" s="27" t="n">
        <f aca="false">PI()*MIN(1,(PixelPitch/1000)*B161)</f>
        <v>3.14159265358979</v>
      </c>
      <c r="E161" s="27" t="n">
        <f aca="false">(2/PI())*(C161-COS(C161)*SIN(C161))</f>
        <v>0</v>
      </c>
      <c r="F161" s="27" t="n">
        <f aca="false">SIN(D161)/D161</f>
        <v>3.8997686524021E-017</v>
      </c>
      <c r="G161" s="27" t="n">
        <f aca="false">E161*F161</f>
        <v>0</v>
      </c>
    </row>
    <row collapsed="false" customFormat="false" customHeight="true" hidden="false" ht="12.75" outlineLevel="0" r="162">
      <c r="A162" s="27" t="n">
        <f aca="false">B162*FocalLength*PI()/180</f>
        <v>69.3768377667746</v>
      </c>
      <c r="B162" s="27" t="n">
        <v>159</v>
      </c>
      <c r="C162" s="27" t="n">
        <f aca="false">ACOS((MIN(1,(Wavelength/1000)*B162*fNumber)))</f>
        <v>0</v>
      </c>
      <c r="D162" s="27" t="n">
        <f aca="false">PI()*MIN(1,(PixelPitch/1000)*B162)</f>
        <v>3.14159265358979</v>
      </c>
      <c r="E162" s="27" t="n">
        <f aca="false">(2/PI())*(C162-COS(C162)*SIN(C162))</f>
        <v>0</v>
      </c>
      <c r="F162" s="27" t="n">
        <f aca="false">SIN(D162)/D162</f>
        <v>3.8997686524021E-017</v>
      </c>
      <c r="G162" s="27" t="n">
        <f aca="false">E162*F162</f>
        <v>0</v>
      </c>
    </row>
    <row collapsed="false" customFormat="false" customHeight="true" hidden="false" ht="12.75" outlineLevel="0" r="163">
      <c r="A163" s="27" t="n">
        <f aca="false">B163*FocalLength*PI()/180</f>
        <v>69.8131700797732</v>
      </c>
      <c r="B163" s="27" t="n">
        <v>160</v>
      </c>
      <c r="C163" s="27" t="n">
        <f aca="false">ACOS((MIN(1,(Wavelength/1000)*B163*fNumber)))</f>
        <v>0</v>
      </c>
      <c r="D163" s="27" t="n">
        <f aca="false">PI()*MIN(1,(PixelPitch/1000)*B163)</f>
        <v>3.14159265358979</v>
      </c>
      <c r="E163" s="27" t="n">
        <f aca="false">(2/PI())*(C163-COS(C163)*SIN(C163))</f>
        <v>0</v>
      </c>
      <c r="F163" s="27" t="n">
        <f aca="false">SIN(D163)/D163</f>
        <v>3.8997686524021E-017</v>
      </c>
      <c r="G163" s="27" t="n">
        <f aca="false">E163*F163</f>
        <v>0</v>
      </c>
    </row>
    <row collapsed="false" customFormat="false" customHeight="true" hidden="false" ht="12.75" outlineLevel="0" r="164">
      <c r="A164" s="27" t="n">
        <f aca="false">B164*FocalLength*PI()/180</f>
        <v>70.2495023927718</v>
      </c>
      <c r="B164" s="27" t="n">
        <v>161</v>
      </c>
      <c r="C164" s="27" t="n">
        <f aca="false">ACOS((MIN(1,(Wavelength/1000)*B164*fNumber)))</f>
        <v>0</v>
      </c>
      <c r="D164" s="27" t="n">
        <f aca="false">PI()*MIN(1,(PixelPitch/1000)*B164)</f>
        <v>3.14159265358979</v>
      </c>
      <c r="E164" s="27" t="n">
        <f aca="false">(2/PI())*(C164-COS(C164)*SIN(C164))</f>
        <v>0</v>
      </c>
      <c r="F164" s="27" t="n">
        <f aca="false">SIN(D164)/D164</f>
        <v>3.8997686524021E-017</v>
      </c>
      <c r="G164" s="27" t="n">
        <f aca="false">E164*F164</f>
        <v>0</v>
      </c>
    </row>
    <row collapsed="false" customFormat="false" customHeight="true" hidden="false" ht="12.75" outlineLevel="0" r="165">
      <c r="A165" s="27" t="n">
        <f aca="false">B165*FocalLength*PI()/180</f>
        <v>70.6858347057703</v>
      </c>
      <c r="B165" s="27" t="n">
        <v>162</v>
      </c>
      <c r="C165" s="27" t="n">
        <f aca="false">ACOS((MIN(1,(Wavelength/1000)*B165*fNumber)))</f>
        <v>0</v>
      </c>
      <c r="D165" s="27" t="n">
        <f aca="false">PI()*MIN(1,(PixelPitch/1000)*B165)</f>
        <v>3.14159265358979</v>
      </c>
      <c r="E165" s="27" t="n">
        <f aca="false">(2/PI())*(C165-COS(C165)*SIN(C165))</f>
        <v>0</v>
      </c>
      <c r="F165" s="27" t="n">
        <f aca="false">SIN(D165)/D165</f>
        <v>3.8997686524021E-017</v>
      </c>
      <c r="G165" s="27" t="n">
        <f aca="false">E165*F165</f>
        <v>0</v>
      </c>
    </row>
    <row collapsed="false" customFormat="false" customHeight="true" hidden="false" ht="12.75" outlineLevel="0" r="166">
      <c r="A166" s="27" t="n">
        <f aca="false">B166*FocalLength*PI()/180</f>
        <v>71.1221670187689</v>
      </c>
      <c r="B166" s="27" t="n">
        <v>163</v>
      </c>
      <c r="C166" s="27" t="n">
        <f aca="false">ACOS((MIN(1,(Wavelength/1000)*B166*fNumber)))</f>
        <v>0</v>
      </c>
      <c r="D166" s="27" t="n">
        <f aca="false">PI()*MIN(1,(PixelPitch/1000)*B166)</f>
        <v>3.14159265358979</v>
      </c>
      <c r="E166" s="27" t="n">
        <f aca="false">(2/PI())*(C166-COS(C166)*SIN(C166))</f>
        <v>0</v>
      </c>
      <c r="F166" s="27" t="n">
        <f aca="false">SIN(D166)/D166</f>
        <v>3.8997686524021E-017</v>
      </c>
      <c r="G166" s="27" t="n">
        <f aca="false">E166*F166</f>
        <v>0</v>
      </c>
    </row>
    <row collapsed="false" customFormat="false" customHeight="true" hidden="false" ht="12.75" outlineLevel="0" r="167">
      <c r="A167" s="27" t="n">
        <f aca="false">B167*FocalLength*PI()/180</f>
        <v>71.5584993317675</v>
      </c>
      <c r="B167" s="27" t="n">
        <v>164</v>
      </c>
      <c r="C167" s="27" t="n">
        <f aca="false">ACOS((MIN(1,(Wavelength/1000)*B167*fNumber)))</f>
        <v>0</v>
      </c>
      <c r="D167" s="27" t="n">
        <f aca="false">PI()*MIN(1,(PixelPitch/1000)*B167)</f>
        <v>3.14159265358979</v>
      </c>
      <c r="E167" s="27" t="n">
        <f aca="false">(2/PI())*(C167-COS(C167)*SIN(C167))</f>
        <v>0</v>
      </c>
      <c r="F167" s="27" t="n">
        <f aca="false">SIN(D167)/D167</f>
        <v>3.8997686524021E-017</v>
      </c>
      <c r="G167" s="27" t="n">
        <f aca="false">E167*F167</f>
        <v>0</v>
      </c>
    </row>
    <row collapsed="false" customFormat="false" customHeight="true" hidden="false" ht="12.75" outlineLevel="0" r="168">
      <c r="A168" s="27" t="n">
        <f aca="false">B168*FocalLength*PI()/180</f>
        <v>71.9948316447661</v>
      </c>
      <c r="B168" s="27" t="n">
        <v>165</v>
      </c>
      <c r="C168" s="27" t="n">
        <f aca="false">ACOS((MIN(1,(Wavelength/1000)*B168*fNumber)))</f>
        <v>0</v>
      </c>
      <c r="D168" s="27" t="n">
        <f aca="false">PI()*MIN(1,(PixelPitch/1000)*B168)</f>
        <v>3.14159265358979</v>
      </c>
      <c r="E168" s="27" t="n">
        <f aca="false">(2/PI())*(C168-COS(C168)*SIN(C168))</f>
        <v>0</v>
      </c>
      <c r="F168" s="27" t="n">
        <f aca="false">SIN(D168)/D168</f>
        <v>3.8997686524021E-017</v>
      </c>
      <c r="G168" s="27" t="n">
        <f aca="false">E168*F168</f>
        <v>0</v>
      </c>
    </row>
    <row collapsed="false" customFormat="false" customHeight="true" hidden="false" ht="12.75" outlineLevel="0" r="169">
      <c r="A169" s="27" t="n">
        <f aca="false">B169*FocalLength*PI()/180</f>
        <v>72.4311639577647</v>
      </c>
      <c r="B169" s="27" t="n">
        <v>166</v>
      </c>
      <c r="C169" s="27" t="n">
        <f aca="false">ACOS((MIN(1,(Wavelength/1000)*B169*fNumber)))</f>
        <v>0</v>
      </c>
      <c r="D169" s="27" t="n">
        <f aca="false">PI()*MIN(1,(PixelPitch/1000)*B169)</f>
        <v>3.14159265358979</v>
      </c>
      <c r="E169" s="27" t="n">
        <f aca="false">(2/PI())*(C169-COS(C169)*SIN(C169))</f>
        <v>0</v>
      </c>
      <c r="F169" s="27" t="n">
        <f aca="false">SIN(D169)/D169</f>
        <v>3.8997686524021E-017</v>
      </c>
      <c r="G169" s="27" t="n">
        <f aca="false">E169*F169</f>
        <v>0</v>
      </c>
    </row>
    <row collapsed="false" customFormat="false" customHeight="true" hidden="false" ht="12.75" outlineLevel="0" r="170">
      <c r="A170" s="27" t="n">
        <f aca="false">B170*FocalLength*PI()/180</f>
        <v>72.8674962707633</v>
      </c>
      <c r="B170" s="27" t="n">
        <v>167</v>
      </c>
      <c r="C170" s="27" t="n">
        <f aca="false">ACOS((MIN(1,(Wavelength/1000)*B170*fNumber)))</f>
        <v>0</v>
      </c>
      <c r="D170" s="27" t="n">
        <f aca="false">PI()*MIN(1,(PixelPitch/1000)*B170)</f>
        <v>3.14159265358979</v>
      </c>
      <c r="E170" s="27" t="n">
        <f aca="false">(2/PI())*(C170-COS(C170)*SIN(C170))</f>
        <v>0</v>
      </c>
      <c r="F170" s="27" t="n">
        <f aca="false">SIN(D170)/D170</f>
        <v>3.8997686524021E-017</v>
      </c>
      <c r="G170" s="27" t="n">
        <f aca="false">E170*F170</f>
        <v>0</v>
      </c>
    </row>
    <row collapsed="false" customFormat="false" customHeight="true" hidden="false" ht="12.75" outlineLevel="0" r="171">
      <c r="A171" s="27" t="n">
        <f aca="false">B171*FocalLength*PI()/180</f>
        <v>73.3038285837618</v>
      </c>
      <c r="B171" s="27" t="n">
        <v>168</v>
      </c>
      <c r="C171" s="27" t="n">
        <f aca="false">ACOS((MIN(1,(Wavelength/1000)*B171*fNumber)))</f>
        <v>0</v>
      </c>
      <c r="D171" s="27" t="n">
        <f aca="false">PI()*MIN(1,(PixelPitch/1000)*B171)</f>
        <v>3.14159265358979</v>
      </c>
      <c r="E171" s="27" t="n">
        <f aca="false">(2/PI())*(C171-COS(C171)*SIN(C171))</f>
        <v>0</v>
      </c>
      <c r="F171" s="27" t="n">
        <f aca="false">SIN(D171)/D171</f>
        <v>3.8997686524021E-017</v>
      </c>
      <c r="G171" s="27" t="n">
        <f aca="false">E171*F171</f>
        <v>0</v>
      </c>
    </row>
    <row collapsed="false" customFormat="false" customHeight="true" hidden="false" ht="12.75" outlineLevel="0" r="172">
      <c r="A172" s="27" t="n">
        <f aca="false">B172*FocalLength*PI()/180</f>
        <v>73.7401608967604</v>
      </c>
      <c r="B172" s="27" t="n">
        <v>169</v>
      </c>
      <c r="C172" s="27" t="n">
        <f aca="false">ACOS((MIN(1,(Wavelength/1000)*B172*fNumber)))</f>
        <v>0</v>
      </c>
      <c r="D172" s="27" t="n">
        <f aca="false">PI()*MIN(1,(PixelPitch/1000)*B172)</f>
        <v>3.14159265358979</v>
      </c>
      <c r="E172" s="27" t="n">
        <f aca="false">(2/PI())*(C172-COS(C172)*SIN(C172))</f>
        <v>0</v>
      </c>
      <c r="F172" s="27" t="n">
        <f aca="false">SIN(D172)/D172</f>
        <v>3.8997686524021E-017</v>
      </c>
      <c r="G172" s="27" t="n">
        <f aca="false">E172*F172</f>
        <v>0</v>
      </c>
    </row>
    <row collapsed="false" customFormat="false" customHeight="true" hidden="false" ht="12.75" outlineLevel="0" r="173">
      <c r="A173" s="27" t="n">
        <f aca="false">B173*FocalLength*PI()/180</f>
        <v>74.176493209759</v>
      </c>
      <c r="B173" s="27" t="n">
        <v>170</v>
      </c>
      <c r="C173" s="27" t="n">
        <f aca="false">ACOS((MIN(1,(Wavelength/1000)*B173*fNumber)))</f>
        <v>0</v>
      </c>
      <c r="D173" s="27" t="n">
        <f aca="false">PI()*MIN(1,(PixelPitch/1000)*B173)</f>
        <v>3.14159265358979</v>
      </c>
      <c r="E173" s="27" t="n">
        <f aca="false">(2/PI())*(C173-COS(C173)*SIN(C173))</f>
        <v>0</v>
      </c>
      <c r="F173" s="27" t="n">
        <f aca="false">SIN(D173)/D173</f>
        <v>3.8997686524021E-017</v>
      </c>
      <c r="G173" s="27" t="n">
        <f aca="false">E173*F173</f>
        <v>0</v>
      </c>
    </row>
    <row collapsed="false" customFormat="false" customHeight="true" hidden="false" ht="12.75" outlineLevel="0" r="174">
      <c r="A174" s="27" t="n">
        <f aca="false">B174*FocalLength*PI()/180</f>
        <v>74.6128255227576</v>
      </c>
      <c r="B174" s="27" t="n">
        <v>171</v>
      </c>
      <c r="C174" s="27" t="n">
        <f aca="false">ACOS((MIN(1,(Wavelength/1000)*B174*fNumber)))</f>
        <v>0</v>
      </c>
      <c r="D174" s="27" t="n">
        <f aca="false">PI()*MIN(1,(PixelPitch/1000)*B174)</f>
        <v>3.14159265358979</v>
      </c>
      <c r="E174" s="27" t="n">
        <f aca="false">(2/PI())*(C174-COS(C174)*SIN(C174))</f>
        <v>0</v>
      </c>
      <c r="F174" s="27" t="n">
        <f aca="false">SIN(D174)/D174</f>
        <v>3.8997686524021E-017</v>
      </c>
      <c r="G174" s="27" t="n">
        <f aca="false">E174*F174</f>
        <v>0</v>
      </c>
    </row>
    <row collapsed="false" customFormat="false" customHeight="true" hidden="false" ht="12.75" outlineLevel="0" r="175">
      <c r="A175" s="27" t="n">
        <f aca="false">B175*FocalLength*PI()/180</f>
        <v>75.0491578357562</v>
      </c>
      <c r="B175" s="27" t="n">
        <v>172</v>
      </c>
      <c r="C175" s="27" t="n">
        <f aca="false">ACOS((MIN(1,(Wavelength/1000)*B175*fNumber)))</f>
        <v>0</v>
      </c>
      <c r="D175" s="27" t="n">
        <f aca="false">PI()*MIN(1,(PixelPitch/1000)*B175)</f>
        <v>3.14159265358979</v>
      </c>
      <c r="E175" s="27" t="n">
        <f aca="false">(2/PI())*(C175-COS(C175)*SIN(C175))</f>
        <v>0</v>
      </c>
      <c r="F175" s="27" t="n">
        <f aca="false">SIN(D175)/D175</f>
        <v>3.8997686524021E-017</v>
      </c>
      <c r="G175" s="27" t="n">
        <f aca="false">E175*F175</f>
        <v>0</v>
      </c>
    </row>
    <row collapsed="false" customFormat="false" customHeight="true" hidden="false" ht="12.75" outlineLevel="0" r="176">
      <c r="A176" s="27" t="n">
        <f aca="false">B176*FocalLength*PI()/180</f>
        <v>75.4854901487547</v>
      </c>
      <c r="B176" s="27" t="n">
        <v>173</v>
      </c>
      <c r="C176" s="27" t="n">
        <f aca="false">ACOS((MIN(1,(Wavelength/1000)*B176*fNumber)))</f>
        <v>0</v>
      </c>
      <c r="D176" s="27" t="n">
        <f aca="false">PI()*MIN(1,(PixelPitch/1000)*B176)</f>
        <v>3.14159265358979</v>
      </c>
      <c r="E176" s="27" t="n">
        <f aca="false">(2/PI())*(C176-COS(C176)*SIN(C176))</f>
        <v>0</v>
      </c>
      <c r="F176" s="27" t="n">
        <f aca="false">SIN(D176)/D176</f>
        <v>3.8997686524021E-017</v>
      </c>
      <c r="G176" s="27" t="n">
        <f aca="false">E176*F176</f>
        <v>0</v>
      </c>
    </row>
    <row collapsed="false" customFormat="false" customHeight="true" hidden="false" ht="12.75" outlineLevel="0" r="177">
      <c r="A177" s="27" t="n">
        <f aca="false">B177*FocalLength*PI()/180</f>
        <v>75.9218224617533</v>
      </c>
      <c r="B177" s="27" t="n">
        <v>174</v>
      </c>
      <c r="C177" s="27" t="n">
        <f aca="false">ACOS((MIN(1,(Wavelength/1000)*B177*fNumber)))</f>
        <v>0</v>
      </c>
      <c r="D177" s="27" t="n">
        <f aca="false">PI()*MIN(1,(PixelPitch/1000)*B177)</f>
        <v>3.14159265358979</v>
      </c>
      <c r="E177" s="27" t="n">
        <f aca="false">(2/PI())*(C177-COS(C177)*SIN(C177))</f>
        <v>0</v>
      </c>
      <c r="F177" s="27" t="n">
        <f aca="false">SIN(D177)/D177</f>
        <v>3.8997686524021E-017</v>
      </c>
      <c r="G177" s="27" t="n">
        <f aca="false">E177*F177</f>
        <v>0</v>
      </c>
    </row>
    <row collapsed="false" customFormat="false" customHeight="true" hidden="false" ht="12.75" outlineLevel="0" r="178">
      <c r="A178" s="27" t="n">
        <f aca="false">B178*FocalLength*PI()/180</f>
        <v>76.3581547747519</v>
      </c>
      <c r="B178" s="27" t="n">
        <v>175</v>
      </c>
      <c r="C178" s="27" t="n">
        <f aca="false">ACOS((MIN(1,(Wavelength/1000)*B178*fNumber)))</f>
        <v>0</v>
      </c>
      <c r="D178" s="27" t="n">
        <f aca="false">PI()*MIN(1,(PixelPitch/1000)*B178)</f>
        <v>3.14159265358979</v>
      </c>
      <c r="E178" s="27" t="n">
        <f aca="false">(2/PI())*(C178-COS(C178)*SIN(C178))</f>
        <v>0</v>
      </c>
      <c r="F178" s="27" t="n">
        <f aca="false">SIN(D178)/D178</f>
        <v>3.8997686524021E-017</v>
      </c>
      <c r="G178" s="27" t="n">
        <f aca="false">E178*F178</f>
        <v>0</v>
      </c>
    </row>
    <row collapsed="false" customFormat="false" customHeight="true" hidden="false" ht="12.75" outlineLevel="0" r="179">
      <c r="A179" s="27" t="n">
        <f aca="false">B179*FocalLength*PI()/180</f>
        <v>76.7944870877505</v>
      </c>
      <c r="B179" s="27" t="n">
        <v>176</v>
      </c>
      <c r="C179" s="27" t="n">
        <f aca="false">ACOS((MIN(1,(Wavelength/1000)*B179*fNumber)))</f>
        <v>0</v>
      </c>
      <c r="D179" s="27" t="n">
        <f aca="false">PI()*MIN(1,(PixelPitch/1000)*B179)</f>
        <v>3.14159265358979</v>
      </c>
      <c r="E179" s="27" t="n">
        <f aca="false">(2/PI())*(C179-COS(C179)*SIN(C179))</f>
        <v>0</v>
      </c>
      <c r="F179" s="27" t="n">
        <f aca="false">SIN(D179)/D179</f>
        <v>3.8997686524021E-017</v>
      </c>
      <c r="G179" s="27" t="n">
        <f aca="false">E179*F179</f>
        <v>0</v>
      </c>
    </row>
    <row collapsed="false" customFormat="false" customHeight="true" hidden="false" ht="12.75" outlineLevel="0" r="180">
      <c r="A180" s="27" t="n">
        <f aca="false">B180*FocalLength*PI()/180</f>
        <v>77.2308194007491</v>
      </c>
      <c r="B180" s="27" t="n">
        <v>177</v>
      </c>
      <c r="C180" s="27" t="n">
        <f aca="false">ACOS((MIN(1,(Wavelength/1000)*B180*fNumber)))</f>
        <v>0</v>
      </c>
      <c r="D180" s="27" t="n">
        <f aca="false">PI()*MIN(1,(PixelPitch/1000)*B180)</f>
        <v>3.14159265358979</v>
      </c>
      <c r="E180" s="27" t="n">
        <f aca="false">(2/PI())*(C180-COS(C180)*SIN(C180))</f>
        <v>0</v>
      </c>
      <c r="F180" s="27" t="n">
        <f aca="false">SIN(D180)/D180</f>
        <v>3.8997686524021E-017</v>
      </c>
      <c r="G180" s="27" t="n">
        <f aca="false">E180*F180</f>
        <v>0</v>
      </c>
    </row>
    <row collapsed="false" customFormat="false" customHeight="true" hidden="false" ht="12.75" outlineLevel="0" r="181">
      <c r="A181" s="27" t="n">
        <f aca="false">B181*FocalLength*PI()/180</f>
        <v>77.6671517137477</v>
      </c>
      <c r="B181" s="27" t="n">
        <v>178</v>
      </c>
      <c r="C181" s="27" t="n">
        <f aca="false">ACOS((MIN(1,(Wavelength/1000)*B181*fNumber)))</f>
        <v>0</v>
      </c>
      <c r="D181" s="27" t="n">
        <f aca="false">PI()*MIN(1,(PixelPitch/1000)*B181)</f>
        <v>3.14159265358979</v>
      </c>
      <c r="E181" s="27" t="n">
        <f aca="false">(2/PI())*(C181-COS(C181)*SIN(C181))</f>
        <v>0</v>
      </c>
      <c r="F181" s="27" t="n">
        <f aca="false">SIN(D181)/D181</f>
        <v>3.8997686524021E-017</v>
      </c>
      <c r="G181" s="27" t="n">
        <f aca="false">E181*F181</f>
        <v>0</v>
      </c>
    </row>
    <row collapsed="false" customFormat="false" customHeight="true" hidden="false" ht="12.75" outlineLevel="0" r="182">
      <c r="A182" s="27" t="n">
        <f aca="false">B182*FocalLength*PI()/180</f>
        <v>78.1034840267462</v>
      </c>
      <c r="B182" s="27" t="n">
        <v>179</v>
      </c>
      <c r="C182" s="27" t="n">
        <f aca="false">ACOS((MIN(1,(Wavelength/1000)*B182*fNumber)))</f>
        <v>0</v>
      </c>
      <c r="D182" s="27" t="n">
        <f aca="false">PI()*MIN(1,(PixelPitch/1000)*B182)</f>
        <v>3.14159265358979</v>
      </c>
      <c r="E182" s="27" t="n">
        <f aca="false">(2/PI())*(C182-COS(C182)*SIN(C182))</f>
        <v>0</v>
      </c>
      <c r="F182" s="27" t="n">
        <f aca="false">SIN(D182)/D182</f>
        <v>3.8997686524021E-017</v>
      </c>
      <c r="G182" s="27" t="n">
        <f aca="false">E182*F182</f>
        <v>0</v>
      </c>
    </row>
    <row collapsed="false" customFormat="false" customHeight="true" hidden="false" ht="12.75" outlineLevel="0" r="183">
      <c r="A183" s="27" t="n">
        <f aca="false">B183*FocalLength*PI()/180</f>
        <v>78.5398163397448</v>
      </c>
      <c r="B183" s="27" t="n">
        <v>180</v>
      </c>
      <c r="C183" s="27" t="n">
        <f aca="false">ACOS((MIN(1,(Wavelength/1000)*B183*fNumber)))</f>
        <v>0</v>
      </c>
      <c r="D183" s="27" t="n">
        <f aca="false">PI()*MIN(1,(PixelPitch/1000)*B183)</f>
        <v>3.14159265358979</v>
      </c>
      <c r="E183" s="27" t="n">
        <f aca="false">(2/PI())*(C183-COS(C183)*SIN(C183))</f>
        <v>0</v>
      </c>
      <c r="F183" s="27" t="n">
        <f aca="false">SIN(D183)/D183</f>
        <v>3.8997686524021E-017</v>
      </c>
      <c r="G183" s="27" t="n">
        <f aca="false">E183*F183</f>
        <v>0</v>
      </c>
    </row>
    <row collapsed="false" customFormat="false" customHeight="true" hidden="false" ht="12.75" outlineLevel="0" r="184">
      <c r="A184" s="27" t="n">
        <f aca="false">B184*FocalLength*PI()/180</f>
        <v>78.9761486527434</v>
      </c>
      <c r="B184" s="27" t="n">
        <v>181</v>
      </c>
      <c r="C184" s="27" t="n">
        <f aca="false">ACOS((MIN(1,(Wavelength/1000)*B184*fNumber)))</f>
        <v>0</v>
      </c>
      <c r="D184" s="27" t="n">
        <f aca="false">PI()*MIN(1,(PixelPitch/1000)*B184)</f>
        <v>3.14159265358979</v>
      </c>
      <c r="E184" s="27" t="n">
        <f aca="false">(2/PI())*(C184-COS(C184)*SIN(C184))</f>
        <v>0</v>
      </c>
      <c r="F184" s="27" t="n">
        <f aca="false">SIN(D184)/D184</f>
        <v>3.8997686524021E-017</v>
      </c>
      <c r="G184" s="27" t="n">
        <f aca="false">E184*F184</f>
        <v>0</v>
      </c>
    </row>
    <row collapsed="false" customFormat="false" customHeight="true" hidden="false" ht="12.75" outlineLevel="0" r="185">
      <c r="A185" s="27" t="n">
        <f aca="false">B185*FocalLength*PI()/180</f>
        <v>79.412480965742</v>
      </c>
      <c r="B185" s="27" t="n">
        <v>182</v>
      </c>
      <c r="C185" s="27" t="n">
        <f aca="false">ACOS((MIN(1,(Wavelength/1000)*B185*fNumber)))</f>
        <v>0</v>
      </c>
      <c r="D185" s="27" t="n">
        <f aca="false">PI()*MIN(1,(PixelPitch/1000)*B185)</f>
        <v>3.14159265358979</v>
      </c>
      <c r="E185" s="27" t="n">
        <f aca="false">(2/PI())*(C185-COS(C185)*SIN(C185))</f>
        <v>0</v>
      </c>
      <c r="F185" s="27" t="n">
        <f aca="false">SIN(D185)/D185</f>
        <v>3.8997686524021E-017</v>
      </c>
      <c r="G185" s="27" t="n">
        <f aca="false">E185*F185</f>
        <v>0</v>
      </c>
    </row>
    <row collapsed="false" customFormat="false" customHeight="true" hidden="false" ht="12.75" outlineLevel="0" r="186">
      <c r="A186" s="27" t="n">
        <f aca="false">B186*FocalLength*PI()/180</f>
        <v>79.8488132787406</v>
      </c>
      <c r="B186" s="27" t="n">
        <v>183</v>
      </c>
      <c r="C186" s="27" t="n">
        <f aca="false">ACOS((MIN(1,(Wavelength/1000)*B186*fNumber)))</f>
        <v>0</v>
      </c>
      <c r="D186" s="27" t="n">
        <f aca="false">PI()*MIN(1,(PixelPitch/1000)*B186)</f>
        <v>3.14159265358979</v>
      </c>
      <c r="E186" s="27" t="n">
        <f aca="false">(2/PI())*(C186-COS(C186)*SIN(C186))</f>
        <v>0</v>
      </c>
      <c r="F186" s="27" t="n">
        <f aca="false">SIN(D186)/D186</f>
        <v>3.8997686524021E-017</v>
      </c>
      <c r="G186" s="27" t="n">
        <f aca="false">E186*F186</f>
        <v>0</v>
      </c>
    </row>
    <row collapsed="false" customFormat="false" customHeight="true" hidden="false" ht="12.75" outlineLevel="0" r="187">
      <c r="A187" s="27" t="n">
        <f aca="false">B187*FocalLength*PI()/180</f>
        <v>80.2851455917392</v>
      </c>
      <c r="B187" s="27" t="n">
        <v>184</v>
      </c>
      <c r="C187" s="27" t="n">
        <f aca="false">ACOS((MIN(1,(Wavelength/1000)*B187*fNumber)))</f>
        <v>0</v>
      </c>
      <c r="D187" s="27" t="n">
        <f aca="false">PI()*MIN(1,(PixelPitch/1000)*B187)</f>
        <v>3.14159265358979</v>
      </c>
      <c r="E187" s="27" t="n">
        <f aca="false">(2/PI())*(C187-COS(C187)*SIN(C187))</f>
        <v>0</v>
      </c>
      <c r="F187" s="27" t="n">
        <f aca="false">SIN(D187)/D187</f>
        <v>3.8997686524021E-017</v>
      </c>
      <c r="G187" s="27" t="n">
        <f aca="false">E187*F187</f>
        <v>0</v>
      </c>
    </row>
    <row collapsed="false" customFormat="false" customHeight="true" hidden="false" ht="12.75" outlineLevel="0" r="188">
      <c r="A188" s="27" t="n">
        <f aca="false">B188*FocalLength*PI()/180</f>
        <v>80.7214779047377</v>
      </c>
      <c r="B188" s="27" t="n">
        <v>185</v>
      </c>
      <c r="C188" s="27" t="n">
        <f aca="false">ACOS((MIN(1,(Wavelength/1000)*B188*fNumber)))</f>
        <v>0</v>
      </c>
      <c r="D188" s="27" t="n">
        <f aca="false">PI()*MIN(1,(PixelPitch/1000)*B188)</f>
        <v>3.14159265358979</v>
      </c>
      <c r="E188" s="27" t="n">
        <f aca="false">(2/PI())*(C188-COS(C188)*SIN(C188))</f>
        <v>0</v>
      </c>
      <c r="F188" s="27" t="n">
        <f aca="false">SIN(D188)/D188</f>
        <v>3.8997686524021E-017</v>
      </c>
      <c r="G188" s="27" t="n">
        <f aca="false">E188*F188</f>
        <v>0</v>
      </c>
    </row>
    <row collapsed="false" customFormat="false" customHeight="true" hidden="false" ht="12.75" outlineLevel="0" r="189">
      <c r="A189" s="27" t="n">
        <f aca="false">B189*FocalLength*PI()/180</f>
        <v>81.1578102177363</v>
      </c>
      <c r="B189" s="27" t="n">
        <v>186</v>
      </c>
      <c r="C189" s="27" t="n">
        <f aca="false">ACOS((MIN(1,(Wavelength/1000)*B189*fNumber)))</f>
        <v>0</v>
      </c>
      <c r="D189" s="27" t="n">
        <f aca="false">PI()*MIN(1,(PixelPitch/1000)*B189)</f>
        <v>3.14159265358979</v>
      </c>
      <c r="E189" s="27" t="n">
        <f aca="false">(2/PI())*(C189-COS(C189)*SIN(C189))</f>
        <v>0</v>
      </c>
      <c r="F189" s="27" t="n">
        <f aca="false">SIN(D189)/D189</f>
        <v>3.8997686524021E-017</v>
      </c>
      <c r="G189" s="27" t="n">
        <f aca="false">E189*F189</f>
        <v>0</v>
      </c>
    </row>
    <row collapsed="false" customFormat="false" customHeight="true" hidden="false" ht="12.75" outlineLevel="0" r="190">
      <c r="A190" s="27" t="n">
        <f aca="false">B190*FocalLength*PI()/180</f>
        <v>81.5941425307349</v>
      </c>
      <c r="B190" s="27" t="n">
        <v>187</v>
      </c>
      <c r="C190" s="27" t="n">
        <f aca="false">ACOS((MIN(1,(Wavelength/1000)*B190*fNumber)))</f>
        <v>0</v>
      </c>
      <c r="D190" s="27" t="n">
        <f aca="false">PI()*MIN(1,(PixelPitch/1000)*B190)</f>
        <v>3.14159265358979</v>
      </c>
      <c r="E190" s="27" t="n">
        <f aca="false">(2/PI())*(C190-COS(C190)*SIN(C190))</f>
        <v>0</v>
      </c>
      <c r="F190" s="27" t="n">
        <f aca="false">SIN(D190)/D190</f>
        <v>3.8997686524021E-017</v>
      </c>
      <c r="G190" s="27" t="n">
        <f aca="false">E190*F190</f>
        <v>0</v>
      </c>
    </row>
    <row collapsed="false" customFormat="false" customHeight="true" hidden="false" ht="12.75" outlineLevel="0" r="191">
      <c r="A191" s="27" t="n">
        <f aca="false">B191*FocalLength*PI()/180</f>
        <v>82.0304748437335</v>
      </c>
      <c r="B191" s="27" t="n">
        <v>188</v>
      </c>
      <c r="C191" s="27" t="n">
        <f aca="false">ACOS((MIN(1,(Wavelength/1000)*B191*fNumber)))</f>
        <v>0</v>
      </c>
      <c r="D191" s="27" t="n">
        <f aca="false">PI()*MIN(1,(PixelPitch/1000)*B191)</f>
        <v>3.14159265358979</v>
      </c>
      <c r="E191" s="27" t="n">
        <f aca="false">(2/PI())*(C191-COS(C191)*SIN(C191))</f>
        <v>0</v>
      </c>
      <c r="F191" s="27" t="n">
        <f aca="false">SIN(D191)/D191</f>
        <v>3.8997686524021E-017</v>
      </c>
      <c r="G191" s="27" t="n">
        <f aca="false">E191*F191</f>
        <v>0</v>
      </c>
    </row>
    <row collapsed="false" customFormat="false" customHeight="true" hidden="false" ht="12.75" outlineLevel="0" r="192">
      <c r="A192" s="27" t="n">
        <f aca="false">B192*FocalLength*PI()/180</f>
        <v>82.4668071567321</v>
      </c>
      <c r="B192" s="27" t="n">
        <v>189</v>
      </c>
      <c r="C192" s="27" t="n">
        <f aca="false">ACOS((MIN(1,(Wavelength/1000)*B192*fNumber)))</f>
        <v>0</v>
      </c>
      <c r="D192" s="27" t="n">
        <f aca="false">PI()*MIN(1,(PixelPitch/1000)*B192)</f>
        <v>3.14159265358979</v>
      </c>
      <c r="E192" s="27" t="n">
        <f aca="false">(2/PI())*(C192-COS(C192)*SIN(C192))</f>
        <v>0</v>
      </c>
      <c r="F192" s="27" t="n">
        <f aca="false">SIN(D192)/D192</f>
        <v>3.8997686524021E-017</v>
      </c>
      <c r="G192" s="27" t="n">
        <f aca="false">E192*F192</f>
        <v>0</v>
      </c>
    </row>
    <row collapsed="false" customFormat="false" customHeight="true" hidden="false" ht="12.75" outlineLevel="0" r="193">
      <c r="A193" s="27" t="n">
        <f aca="false">B193*FocalLength*PI()/180</f>
        <v>82.9031394697307</v>
      </c>
      <c r="B193" s="27" t="n">
        <v>190</v>
      </c>
      <c r="C193" s="27" t="n">
        <f aca="false">ACOS((MIN(1,(Wavelength/1000)*B193*fNumber)))</f>
        <v>0</v>
      </c>
      <c r="D193" s="27" t="n">
        <f aca="false">PI()*MIN(1,(PixelPitch/1000)*B193)</f>
        <v>3.14159265358979</v>
      </c>
      <c r="E193" s="27" t="n">
        <f aca="false">(2/PI())*(C193-COS(C193)*SIN(C193))</f>
        <v>0</v>
      </c>
      <c r="F193" s="27" t="n">
        <f aca="false">SIN(D193)/D193</f>
        <v>3.8997686524021E-017</v>
      </c>
      <c r="G193" s="27" t="n">
        <f aca="false">E193*F193</f>
        <v>0</v>
      </c>
    </row>
    <row collapsed="false" customFormat="false" customHeight="true" hidden="false" ht="12.75" outlineLevel="0" r="194">
      <c r="A194" s="27" t="n">
        <f aca="false">B194*FocalLength*PI()/180</f>
        <v>83.3394717827292</v>
      </c>
      <c r="B194" s="27" t="n">
        <v>191</v>
      </c>
      <c r="C194" s="27" t="n">
        <f aca="false">ACOS((MIN(1,(Wavelength/1000)*B194*fNumber)))</f>
        <v>0</v>
      </c>
      <c r="D194" s="27" t="n">
        <f aca="false">PI()*MIN(1,(PixelPitch/1000)*B194)</f>
        <v>3.14159265358979</v>
      </c>
      <c r="E194" s="27" t="n">
        <f aca="false">(2/PI())*(C194-COS(C194)*SIN(C194))</f>
        <v>0</v>
      </c>
      <c r="F194" s="27" t="n">
        <f aca="false">SIN(D194)/D194</f>
        <v>3.8997686524021E-017</v>
      </c>
      <c r="G194" s="27" t="n">
        <f aca="false">E194*F194</f>
        <v>0</v>
      </c>
    </row>
    <row collapsed="false" customFormat="false" customHeight="true" hidden="false" ht="12.75" outlineLevel="0" r="195">
      <c r="A195" s="27" t="n">
        <f aca="false">B195*FocalLength*PI()/180</f>
        <v>83.7758040957278</v>
      </c>
      <c r="B195" s="27" t="n">
        <v>192</v>
      </c>
      <c r="C195" s="27" t="n">
        <f aca="false">ACOS((MIN(1,(Wavelength/1000)*B195*fNumber)))</f>
        <v>0</v>
      </c>
      <c r="D195" s="27" t="n">
        <f aca="false">PI()*MIN(1,(PixelPitch/1000)*B195)</f>
        <v>3.14159265358979</v>
      </c>
      <c r="E195" s="27" t="n">
        <f aca="false">(2/PI())*(C195-COS(C195)*SIN(C195))</f>
        <v>0</v>
      </c>
      <c r="F195" s="27" t="n">
        <f aca="false">SIN(D195)/D195</f>
        <v>3.8997686524021E-017</v>
      </c>
      <c r="G195" s="27" t="n">
        <f aca="false">E195*F195</f>
        <v>0</v>
      </c>
    </row>
    <row collapsed="false" customFormat="false" customHeight="true" hidden="false" ht="12.75" outlineLevel="0" r="196">
      <c r="A196" s="27" t="n">
        <f aca="false">B196*FocalLength*PI()/180</f>
        <v>84.2121364087264</v>
      </c>
      <c r="B196" s="27" t="n">
        <v>193</v>
      </c>
      <c r="C196" s="27" t="n">
        <f aca="false">ACOS((MIN(1,(Wavelength/1000)*B196*fNumber)))</f>
        <v>0</v>
      </c>
      <c r="D196" s="27" t="n">
        <f aca="false">PI()*MIN(1,(PixelPitch/1000)*B196)</f>
        <v>3.14159265358979</v>
      </c>
      <c r="E196" s="27" t="n">
        <f aca="false">(2/PI())*(C196-COS(C196)*SIN(C196))</f>
        <v>0</v>
      </c>
      <c r="F196" s="27" t="n">
        <f aca="false">SIN(D196)/D196</f>
        <v>3.8997686524021E-017</v>
      </c>
      <c r="G196" s="27" t="n">
        <f aca="false">E196*F196</f>
        <v>0</v>
      </c>
    </row>
    <row collapsed="false" customFormat="false" customHeight="true" hidden="false" ht="12.75" outlineLevel="0" r="197">
      <c r="A197" s="27" t="n">
        <f aca="false">B197*FocalLength*PI()/180</f>
        <v>84.648468721725</v>
      </c>
      <c r="B197" s="27" t="n">
        <v>194</v>
      </c>
      <c r="C197" s="27" t="n">
        <f aca="false">ACOS((MIN(1,(Wavelength/1000)*B197*fNumber)))</f>
        <v>0</v>
      </c>
      <c r="D197" s="27" t="n">
        <f aca="false">PI()*MIN(1,(PixelPitch/1000)*B197)</f>
        <v>3.14159265358979</v>
      </c>
      <c r="E197" s="27" t="n">
        <f aca="false">(2/PI())*(C197-COS(C197)*SIN(C197))</f>
        <v>0</v>
      </c>
      <c r="F197" s="27" t="n">
        <f aca="false">SIN(D197)/D197</f>
        <v>3.8997686524021E-017</v>
      </c>
      <c r="G197" s="27" t="n">
        <f aca="false">E197*F197</f>
        <v>0</v>
      </c>
    </row>
    <row collapsed="false" customFormat="false" customHeight="true" hidden="false" ht="12.75" outlineLevel="0" r="198">
      <c r="A198" s="27" t="n">
        <f aca="false">B198*FocalLength*PI()/180</f>
        <v>85.0848010347236</v>
      </c>
      <c r="B198" s="27" t="n">
        <v>195</v>
      </c>
      <c r="C198" s="27" t="n">
        <f aca="false">ACOS((MIN(1,(Wavelength/1000)*B198*fNumber)))</f>
        <v>0</v>
      </c>
      <c r="D198" s="27" t="n">
        <f aca="false">PI()*MIN(1,(PixelPitch/1000)*B198)</f>
        <v>3.14159265358979</v>
      </c>
      <c r="E198" s="27" t="n">
        <f aca="false">(2/PI())*(C198-COS(C198)*SIN(C198))</f>
        <v>0</v>
      </c>
      <c r="F198" s="27" t="n">
        <f aca="false">SIN(D198)/D198</f>
        <v>3.8997686524021E-017</v>
      </c>
      <c r="G198" s="27" t="n">
        <f aca="false">E198*F198</f>
        <v>0</v>
      </c>
    </row>
    <row collapsed="false" customFormat="false" customHeight="true" hidden="false" ht="12.75" outlineLevel="0" r="199">
      <c r="A199" s="27" t="n">
        <f aca="false">B199*FocalLength*PI()/180</f>
        <v>85.5211333477221</v>
      </c>
      <c r="B199" s="27" t="n">
        <v>196</v>
      </c>
      <c r="C199" s="27" t="n">
        <f aca="false">ACOS((MIN(1,(Wavelength/1000)*B199*fNumber)))</f>
        <v>0</v>
      </c>
      <c r="D199" s="27" t="n">
        <f aca="false">PI()*MIN(1,(PixelPitch/1000)*B199)</f>
        <v>3.14159265358979</v>
      </c>
      <c r="E199" s="27" t="n">
        <f aca="false">(2/PI())*(C199-COS(C199)*SIN(C199))</f>
        <v>0</v>
      </c>
      <c r="F199" s="27" t="n">
        <f aca="false">SIN(D199)/D199</f>
        <v>3.8997686524021E-017</v>
      </c>
      <c r="G199" s="27" t="n">
        <f aca="false">E199*F199</f>
        <v>0</v>
      </c>
    </row>
    <row collapsed="false" customFormat="false" customHeight="true" hidden="false" ht="12.75" outlineLevel="0" r="200">
      <c r="A200" s="27" t="n">
        <f aca="false">B200*FocalLength*PI()/180</f>
        <v>85.9574656607207</v>
      </c>
      <c r="B200" s="27" t="n">
        <v>197</v>
      </c>
      <c r="C200" s="27" t="n">
        <f aca="false">ACOS((MIN(1,(Wavelength/1000)*B200*fNumber)))</f>
        <v>0</v>
      </c>
      <c r="D200" s="27" t="n">
        <f aca="false">PI()*MIN(1,(PixelPitch/1000)*B200)</f>
        <v>3.14159265358979</v>
      </c>
      <c r="E200" s="27" t="n">
        <f aca="false">(2/PI())*(C200-COS(C200)*SIN(C200))</f>
        <v>0</v>
      </c>
      <c r="F200" s="27" t="n">
        <f aca="false">SIN(D200)/D200</f>
        <v>3.8997686524021E-017</v>
      </c>
      <c r="G200" s="27" t="n">
        <f aca="false">E200*F200</f>
        <v>0</v>
      </c>
    </row>
    <row collapsed="false" customFormat="false" customHeight="true" hidden="false" ht="12.75" outlineLevel="0" r="201">
      <c r="A201" s="27" t="n">
        <f aca="false">B201*FocalLength*PI()/180</f>
        <v>86.3937979737193</v>
      </c>
      <c r="B201" s="27" t="n">
        <v>198</v>
      </c>
      <c r="C201" s="27" t="n">
        <f aca="false">ACOS((MIN(1,(Wavelength/1000)*B201*fNumber)))</f>
        <v>0</v>
      </c>
      <c r="D201" s="27" t="n">
        <f aca="false">PI()*MIN(1,(PixelPitch/1000)*B201)</f>
        <v>3.14159265358979</v>
      </c>
      <c r="E201" s="27" t="n">
        <f aca="false">(2/PI())*(C201-COS(C201)*SIN(C201))</f>
        <v>0</v>
      </c>
      <c r="F201" s="27" t="n">
        <f aca="false">SIN(D201)/D201</f>
        <v>3.8997686524021E-017</v>
      </c>
      <c r="G201" s="27" t="n">
        <f aca="false">E201*F201</f>
        <v>0</v>
      </c>
    </row>
    <row collapsed="false" customFormat="false" customHeight="true" hidden="false" ht="12.75" outlineLevel="0" r="202">
      <c r="A202" s="27" t="n">
        <f aca="false">B202*FocalLength*PI()/180</f>
        <v>86.8301302867179</v>
      </c>
      <c r="B202" s="27" t="n">
        <v>199</v>
      </c>
      <c r="C202" s="27" t="n">
        <f aca="false">ACOS((MIN(1,(Wavelength/1000)*B202*fNumber)))</f>
        <v>0</v>
      </c>
      <c r="D202" s="27" t="n">
        <f aca="false">PI()*MIN(1,(PixelPitch/1000)*B202)</f>
        <v>3.14159265358979</v>
      </c>
      <c r="E202" s="27" t="n">
        <f aca="false">(2/PI())*(C202-COS(C202)*SIN(C202))</f>
        <v>0</v>
      </c>
      <c r="F202" s="27" t="n">
        <f aca="false">SIN(D202)/D202</f>
        <v>3.8997686524021E-017</v>
      </c>
      <c r="G202" s="27" t="n">
        <f aca="false">E202*F202</f>
        <v>0</v>
      </c>
    </row>
    <row collapsed="false" customFormat="false" customHeight="true" hidden="false" ht="12.75" outlineLevel="0" r="203">
      <c r="A203" s="27" t="n">
        <f aca="false">B203*FocalLength*PI()/180</f>
        <v>87.2664625997165</v>
      </c>
      <c r="B203" s="27" t="n">
        <v>200</v>
      </c>
      <c r="C203" s="27" t="n">
        <f aca="false">ACOS((MIN(1,(Wavelength/1000)*B203*fNumber)))</f>
        <v>0</v>
      </c>
      <c r="D203" s="27" t="n">
        <f aca="false">PI()*MIN(1,(PixelPitch/1000)*B203)</f>
        <v>3.14159265358979</v>
      </c>
      <c r="E203" s="27" t="n">
        <f aca="false">(2/PI())*(C203-COS(C203)*SIN(C203))</f>
        <v>0</v>
      </c>
      <c r="F203" s="27" t="n">
        <f aca="false">SIN(D203)/D203</f>
        <v>3.8997686524021E-017</v>
      </c>
      <c r="G203" s="27" t="n">
        <f aca="false">E203*F203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2011-10-24T04:52:48.00Z</dcterms:created>
  <cp:lastModifiedBy>Arn Adams</cp:lastModifiedBy>
  <cp:lastPrinted>1601-01-01T00:00:00.00Z</cp:lastPrinted>
  <dcterms:modified xsi:type="dcterms:W3CDTF">2013-11-25T21:29:25.00Z</dcterms:modified>
  <cp:revision>0</cp:revision>
</cp:coreProperties>
</file>